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5150" windowHeight="5895" activeTab="2"/>
  </bookViews>
  <sheets>
    <sheet name="Index" sheetId="8" r:id="rId1"/>
    <sheet name="Feuil1" sheetId="1" r:id="rId2"/>
    <sheet name="Com_need" sheetId="5" r:id="rId3"/>
    <sheet name="Produce_80K" sheetId="7" r:id="rId4"/>
    <sheet name="Remove Air " sheetId="9" r:id="rId5"/>
    <sheet name="Comp" sheetId="3" r:id="rId6"/>
    <sheet name="Coalescers" sheetId="6" r:id="rId7"/>
    <sheet name="HX" sheetId="2" r:id="rId8"/>
    <sheet name="Vacuum Group" sheetId="10" r:id="rId9"/>
    <sheet name="Sheet1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Dim1">#REF!</definedName>
    <definedName name="_Dim2">#REF!</definedName>
    <definedName name="_fdi1">#REF!</definedName>
    <definedName name="_fdi2">#REF!</definedName>
    <definedName name="_Nu1">#REF!</definedName>
    <definedName name="_Nu2">#REF!</definedName>
    <definedName name="_Res1">#REF!</definedName>
    <definedName name="_Res2">#REF!</definedName>
    <definedName name="_Res3">#REF!</definedName>
    <definedName name="_Res4">#REF!</definedName>
    <definedName name="_Res5">#REF!</definedName>
    <definedName name="_Res6">#REF!</definedName>
    <definedName name="_Res7">#REF!</definedName>
    <definedName name="_Res8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2">#REF!</definedName>
    <definedName name="_Tab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yp1">#REF!</definedName>
    <definedName name="_Typ2">#REF!</definedName>
    <definedName name="_Typ3">#REF!</definedName>
    <definedName name="_Typ4">#REF!</definedName>
    <definedName name="_Typ5">#REF!</definedName>
    <definedName name="_Typ6">#REF!</definedName>
    <definedName name="_Typ7">#REF!</definedName>
    <definedName name="_Typ8">#REF!</definedName>
    <definedName name="_Val1">#REF!</definedName>
    <definedName name="_Val2">#REF!</definedName>
    <definedName name="_Val3">#REF!</definedName>
    <definedName name="a">#REF!</definedName>
    <definedName name="ActuatorType">#REF!</definedName>
    <definedName name="Affcode">#REF!</definedName>
    <definedName name="Affcp">#REF!</definedName>
    <definedName name="Affcpl">#REF!</definedName>
    <definedName name="Affcpv">#REF!</definedName>
    <definedName name="Afflamb">#REF!</definedName>
    <definedName name="Afflambl">#REF!</definedName>
    <definedName name="Afflambv">#REF!</definedName>
    <definedName name="AffLv">#REF!</definedName>
    <definedName name="AffM">#REF!</definedName>
    <definedName name="Affmu">#REF!</definedName>
    <definedName name="Affmul">#REF!</definedName>
    <definedName name="Affmuv">#REF!</definedName>
    <definedName name="Affmv">#REF!</definedName>
    <definedName name="Affmvl">#REF!</definedName>
    <definedName name="Affmvv">#REF!</definedName>
    <definedName name="AffNom">#REF!</definedName>
    <definedName name="AffP">#REF!</definedName>
    <definedName name="AffPhase">#REF!</definedName>
    <definedName name="AffPrl">#REF!</definedName>
    <definedName name="AffProphy">#REF!</definedName>
    <definedName name="AffTc">#REF!</definedName>
    <definedName name="AffTsat">#REF!</definedName>
    <definedName name="b_a">#REF!</definedName>
    <definedName name="ba">#REF!</definedName>
    <definedName name="Bo">#REF!</definedName>
    <definedName name="BodyPattern">#REF!</definedName>
    <definedName name="Canal">#REF!</definedName>
    <definedName name="ChoixConnect">#REF!</definedName>
    <definedName name="Cleanliness">#REF!</definedName>
    <definedName name="Co">#REF!</definedName>
    <definedName name="Coeff1">#REF!</definedName>
    <definedName name="Coeff10">#REF!</definedName>
    <definedName name="Coeff11">#REF!</definedName>
    <definedName name="Coeff12">#REF!</definedName>
    <definedName name="Coeff13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eff7">#REF!</definedName>
    <definedName name="Coeff8">#REF!</definedName>
    <definedName name="Coeff9">#REF!</definedName>
    <definedName name="Coeffcar4">#REF!</definedName>
    <definedName name="Coeffcar5">#REF!</definedName>
    <definedName name="Coeffconv">#REF!</definedName>
    <definedName name="Coefftri">#REF!</definedName>
    <definedName name="Coefsup">#REF!</definedName>
    <definedName name="Coefsuphor">#REF!</definedName>
    <definedName name="Coefsupret">#REF!</definedName>
    <definedName name="Conduite">#REF!</definedName>
    <definedName name="const1">#REF!</definedName>
    <definedName name="const2">#REF!</definedName>
    <definedName name="const3">#REF!</definedName>
    <definedName name="ConstructionCode">#REF!</definedName>
    <definedName name="Corr_E">#REF!</definedName>
    <definedName name="Corr_S">#REF!</definedName>
    <definedName name="Corr1">#REF!</definedName>
    <definedName name="Corr2">#REF!</definedName>
    <definedName name="Corr3">#REF!</definedName>
    <definedName name="coude">'[1]Pipe diameter'!$B$51:$B$56</definedName>
    <definedName name="cp">#REF!</definedName>
    <definedName name="Cp_1_fluide_1">#REF!</definedName>
    <definedName name="Cp_1_fluide_2">#REF!</definedName>
    <definedName name="Cp_2_fluide_1">#REF!</definedName>
    <definedName name="Cp_2_fluide_2">#REF!</definedName>
    <definedName name="cpe">#REF!</definedName>
    <definedName name="cpl">#REF!</definedName>
    <definedName name="cps">#REF!</definedName>
    <definedName name="cpv">#REF!</definedName>
    <definedName name="crit1">#REF!</definedName>
    <definedName name="crit2">#REF!</definedName>
    <definedName name="crit3">#REF!</definedName>
    <definedName name="_xlnm.Criteria">#REF!</definedName>
    <definedName name="CurFileName">#REF!</definedName>
    <definedName name="D">#REF!</definedName>
    <definedName name="Data">"?"</definedName>
    <definedName name="_xlnm.Database">#REF!</definedName>
    <definedName name="DataName">"?"</definedName>
    <definedName name="db_leak_test">'[2]Data base'!#REF!</definedName>
    <definedName name="débit">#REF!</definedName>
    <definedName name="Débit_masse">#REF!</definedName>
    <definedName name="Débit_masse_fluide1">#REF!</definedName>
    <definedName name="Débit_masse_fluide2">#REF!</definedName>
    <definedName name="degrees">#REF!</definedName>
    <definedName name="Delta_P_fluide1">#REF!</definedName>
    <definedName name="Delta_P_fluide2">#REF!</definedName>
    <definedName name="Dft">#REF!</definedName>
    <definedName name="Dh">#REF!</definedName>
    <definedName name="Di">#REF!</definedName>
    <definedName name="Dlaby">#REF!</definedName>
    <definedName name="DN">#REF!</definedName>
    <definedName name="DN_CODAP_Table">#REF!</definedName>
    <definedName name="dp_hp">#REF!</definedName>
    <definedName name="dp_lp">#REF!</definedName>
    <definedName name="DR">#REF!</definedName>
    <definedName name="dsdfgsdf">#REF!</definedName>
    <definedName name="EffetD">#REF!</definedName>
    <definedName name="Effetflux">#REF!</definedName>
    <definedName name="EffetM">#REF!</definedName>
    <definedName name="EffetP">#REF!</definedName>
    <definedName name="EffetRug">#REF!</definedName>
    <definedName name="ElectricalCode">#REF!</definedName>
    <definedName name="EndConnection">#REF!</definedName>
    <definedName name="etat">#REF!</definedName>
    <definedName name="Fact">#REF!</definedName>
    <definedName name="factF">#REF!</definedName>
    <definedName name="FactF0">#REF!</definedName>
    <definedName name="FactF1">#REF!</definedName>
    <definedName name="factFLW">#REF!</definedName>
    <definedName name="factFLWhor">#REF!</definedName>
    <definedName name="factFLWret">#REF!</definedName>
    <definedName name="factFnb">#REF!</definedName>
    <definedName name="factFST">#REF!</definedName>
    <definedName name="FailureType">#REF!</definedName>
    <definedName name="fFil">#REF!</definedName>
    <definedName name="fFilvap">#REF!</definedName>
    <definedName name="Fluide">#REF!</definedName>
    <definedName name="fluides">[3]Fluids!$A$4:$A$87</definedName>
    <definedName name="Frl">#REF!</definedName>
    <definedName name="gas">[1]Fluides!$K$2:$K$4</definedName>
    <definedName name="gravité">#REF!</definedName>
    <definedName name="h">#REF!</definedName>
    <definedName name="hconv">#REF!</definedName>
    <definedName name="hdit">#REF!</definedName>
    <definedName name="hebul">#REF!</definedName>
    <definedName name="Hevm">#REF!</definedName>
    <definedName name="hgaz">#REF!</definedName>
    <definedName name="hhau">#REF!</definedName>
    <definedName name="hl0">#REF!</definedName>
    <definedName name="hliq">#REF!</definedName>
    <definedName name="hLW">#REF!</definedName>
    <definedName name="hmac">#REF!</definedName>
    <definedName name="hmax">#REF!</definedName>
    <definedName name="hmin">#REF!</definedName>
    <definedName name="hmoy">#REF!</definedName>
    <definedName name="hnuCoo">#REF!</definedName>
    <definedName name="hpet">#REF!</definedName>
    <definedName name="href">#REF!</definedName>
    <definedName name="hsch">#REF!</definedName>
    <definedName name="hSchah">#REF!</definedName>
    <definedName name="hsie">#REF!</definedName>
    <definedName name="hST">#REF!</definedName>
    <definedName name="httc">#REF!</definedName>
    <definedName name="httl">#REF!</definedName>
    <definedName name="Hvap">#REF!</definedName>
    <definedName name="Inf">#REF!</definedName>
    <definedName name="info">#REF!</definedName>
    <definedName name="Input1">'[4]Property HePak'!$C$7</definedName>
    <definedName name="Input2">'[4]Property HePak'!$D$7</definedName>
    <definedName name="Jrl">#REF!</definedName>
    <definedName name="lamb">#REF!</definedName>
    <definedName name="lambe">#REF!</definedName>
    <definedName name="lambl">#REF!</definedName>
    <definedName name="lambs">#REF!</definedName>
    <definedName name="lambv">#REF!</definedName>
    <definedName name="Liste_DN">Coalescers!$L$4:$L$22</definedName>
    <definedName name="Local_path">#REF!</definedName>
    <definedName name="long">#REF!</definedName>
    <definedName name="Lv">#REF!</definedName>
    <definedName name="M">#REF!</definedName>
    <definedName name="MaterialCertificat">#REF!</definedName>
    <definedName name="modifiable">#REF!,#REF!,#REF!,#REF!,#REF!,#REF!,#REF!,#REF!,#REF!,#REF!,#REF!,#REF!,#REF!,#REF!,#REF!,#REF!,#REF!,#REF!,#REF!,#REF!,#REF!,#REF!,#REF!,#REF!</definedName>
    <definedName name="Motifs">#REF!</definedName>
    <definedName name="mu">#REF!</definedName>
    <definedName name="mue">#REF!</definedName>
    <definedName name="mul">#REF!</definedName>
    <definedName name="mus">#REF!</definedName>
    <definedName name="muv">#REF!</definedName>
    <definedName name="mv">#REF!</definedName>
    <definedName name="mve">#REF!</definedName>
    <definedName name="mvl">#REF!</definedName>
    <definedName name="mvs">#REF!</definedName>
    <definedName name="mvv">#REF!</definedName>
    <definedName name="nbcor">#REF!</definedName>
    <definedName name="Nconf">#REF!</definedName>
    <definedName name="Network_path">#REF!</definedName>
    <definedName name="Nflux">#REF!</definedName>
    <definedName name="Nfluxcryo">#REF!</definedName>
    <definedName name="NfluxEAU">#REF!</definedName>
    <definedName name="Nhor">#REF!</definedName>
    <definedName name="Nom">#REF!</definedName>
    <definedName name="Nu">#REF!</definedName>
    <definedName name="Nuannu">#REF!</definedName>
    <definedName name="Nucar4">#REF!</definedName>
    <definedName name="Nucar5">#REF!</definedName>
    <definedName name="Nudit">#REF!</definedName>
    <definedName name="Nufaisc">#REF!</definedName>
    <definedName name="NuGN">#REF!</definedName>
    <definedName name="NuGNvap">#REF!</definedName>
    <definedName name="Nuhau">#REF!</definedName>
    <definedName name="Nuint">#REF!</definedName>
    <definedName name="Nulam">#REF!</definedName>
    <definedName name="Numac">#REF!</definedName>
    <definedName name="Numax">#REF!</definedName>
    <definedName name="Numin">#REF!</definedName>
    <definedName name="Numoy">#REF!</definedName>
    <definedName name="NuNutube">#REF!</definedName>
    <definedName name="Nupet">#REF!</definedName>
    <definedName name="Nurect">#REF!</definedName>
    <definedName name="Nusch">#REF!</definedName>
    <definedName name="Nusie">#REF!</definedName>
    <definedName name="Nuttc">#REF!</definedName>
    <definedName name="Nuttl">#REF!</definedName>
    <definedName name="Nvert">#REF!</definedName>
    <definedName name="P">#REF!</definedName>
    <definedName name="P_fluide1_1">#REF!</definedName>
    <definedName name="P_fluide1_2">#REF!</definedName>
    <definedName name="P_fluide2_1">#REF!</definedName>
    <definedName name="P_fluide2_2">#REF!</definedName>
    <definedName name="P0">'[5]Données et calculs'!#REF!</definedName>
    <definedName name="pad">#REF!</definedName>
    <definedName name="pas">#REF!</definedName>
    <definedName name="Pc">#REF!</definedName>
    <definedName name="Pcar4">#REF!</definedName>
    <definedName name="Pcar5">#REF!</definedName>
    <definedName name="Pdilu">#REF!</definedName>
    <definedName name="Pech">#REF!</definedName>
    <definedName name="Per">#REF!</definedName>
    <definedName name="Phase">#REF!</definedName>
    <definedName name="PlugCharacteristic">#REF!</definedName>
    <definedName name="PlugType">#REF!</definedName>
    <definedName name="PositionerType">#REF!</definedName>
    <definedName name="Pr">#REF!</definedName>
    <definedName name="Pred">#REF!</definedName>
    <definedName name="Prl">#REF!</definedName>
    <definedName name="Prophy">#REF!</definedName>
    <definedName name="Prv">#REF!</definedName>
    <definedName name="Psat">#REF!</definedName>
    <definedName name="PSIconf">#REF!</definedName>
    <definedName name="PSIcv">#REF!</definedName>
    <definedName name="PSImix">#REF!</definedName>
    <definedName name="PSInu">#REF!</definedName>
    <definedName name="Psortie">'[5]Unités SI'!#REF!</definedName>
    <definedName name="Ptri">#REF!</definedName>
    <definedName name="Puissance">#REF!</definedName>
    <definedName name="Puissance1">#REF!</definedName>
    <definedName name="Puissance2">#REF!</definedName>
    <definedName name="Q">#REF!</definedName>
    <definedName name="Qref">#REF!</definedName>
    <definedName name="Qt">#REF!</definedName>
    <definedName name="Rapport">#REF!</definedName>
    <definedName name="Re">#REF!</definedName>
    <definedName name="Reg0">#REF!</definedName>
    <definedName name="Régime">#REF!</definedName>
    <definedName name="Regulation">#REF!</definedName>
    <definedName name="Rel">#REF!</definedName>
    <definedName name="Rel0">#REF!</definedName>
    <definedName name="Rendement_S_compresseur">#REF!</definedName>
    <definedName name="result">#REF!</definedName>
    <definedName name="Rev">#REF!</definedName>
    <definedName name="Rug">#REF!</definedName>
    <definedName name="Spass">#REF!</definedName>
    <definedName name="Spass1">#REF!</definedName>
    <definedName name="Spass2">#REF!</definedName>
    <definedName name="Sup">#REF!</definedName>
    <definedName name="T_basse">#REF!</definedName>
    <definedName name="T_fluide1_1">#REF!</definedName>
    <definedName name="T_fluide1_2">#REF!</definedName>
    <definedName name="T_fluide2_1">#REF!</definedName>
    <definedName name="T_fluide2_2">#REF!</definedName>
    <definedName name="T_haute">#REF!</definedName>
    <definedName name="Table1">#REF!</definedName>
    <definedName name="Table2">#REF!</definedName>
    <definedName name="Tabnu">#REF!</definedName>
    <definedName name="Tc">#REF!</definedName>
    <definedName name="Tent">#REF!</definedName>
    <definedName name="Testhor">#REF!</definedName>
    <definedName name="Titre">#REF!</definedName>
    <definedName name="Tmax">#REF!</definedName>
    <definedName name="Tmin">#REF!</definedName>
    <definedName name="Ts">#REF!</definedName>
    <definedName name="Tsat">#REF!</definedName>
    <definedName name="Tsor">#REF!</definedName>
    <definedName name="Um">#REF!</definedName>
    <definedName name="Umoy">#REF!</definedName>
    <definedName name="Unite_Debit">#REF!</definedName>
    <definedName name="Unite1">#REF!</definedName>
    <definedName name="Units">'[4]Property HePak'!$F$9</definedName>
    <definedName name="Ut">#REF!</definedName>
    <definedName name="V">#REF!</definedName>
    <definedName name="Vali1">#REF!</definedName>
    <definedName name="Vali2">#REF!</definedName>
    <definedName name="Vali3">#REF!</definedName>
    <definedName name="Vali4">#REF!</definedName>
    <definedName name="Vali5">#REF!</definedName>
    <definedName name="Vali6">#REF!</definedName>
    <definedName name="Vali7">#REF!</definedName>
    <definedName name="Vali8">#REF!</definedName>
    <definedName name="Valid">#REF!</definedName>
    <definedName name="Value1">'[4]Property HePak'!$C$9</definedName>
    <definedName name="Value2">'[4]Property HePak'!$D$9</definedName>
    <definedName name="ValveFunction">#REF!</definedName>
    <definedName name="ValveType">#REF!</definedName>
    <definedName name="Vser">#REF!</definedName>
    <definedName name="Xtt">#REF!</definedName>
    <definedName name="Xtt85">#REF!</definedName>
    <definedName name="YESNO">#REF!</definedName>
    <definedName name="Zl">#REF!</definedName>
    <definedName name="ZonB">#REF!</definedName>
    <definedName name="Zonhor">#REF!,#REF!,#REF!</definedName>
    <definedName name="ZonN">#REF!,#REF!,#REF!,#REF!,#REF!</definedName>
    <definedName name="ZonR">#REF!,#REF!</definedName>
    <definedName name="ZonV">#REF!</definedName>
  </definedNames>
  <calcPr calcId="125725"/>
</workbook>
</file>

<file path=xl/calcChain.xml><?xml version="1.0" encoding="utf-8"?>
<calcChain xmlns="http://schemas.openxmlformats.org/spreadsheetml/2006/main">
  <c r="AB29" i="5"/>
  <c r="AC29" s="1"/>
  <c r="AA29"/>
  <c r="R29"/>
  <c r="X29" s="1"/>
  <c r="P29"/>
  <c r="N29"/>
  <c r="Q29" s="1"/>
  <c r="K29"/>
  <c r="E29"/>
  <c r="F29" s="1"/>
  <c r="AB31"/>
  <c r="AA31"/>
  <c r="AC31" s="1"/>
  <c r="R31"/>
  <c r="X31" s="1"/>
  <c r="P31"/>
  <c r="N31"/>
  <c r="Q31" s="1"/>
  <c r="K31"/>
  <c r="F31"/>
  <c r="E31"/>
  <c r="AB30"/>
  <c r="AA30"/>
  <c r="X30"/>
  <c r="R30"/>
  <c r="P30"/>
  <c r="N30"/>
  <c r="Q30" s="1"/>
  <c r="K30"/>
  <c r="F30"/>
  <c r="E30"/>
  <c r="I14" i="2"/>
  <c r="G12"/>
  <c r="G10"/>
  <c r="E12"/>
  <c r="E10"/>
  <c r="F12"/>
  <c r="F10"/>
  <c r="D10"/>
  <c r="D12"/>
  <c r="AM13" i="5"/>
  <c r="AN13"/>
  <c r="AL13"/>
  <c r="AN20"/>
  <c r="AM20"/>
  <c r="AL20"/>
  <c r="AJ13"/>
  <c r="AK13"/>
  <c r="AI13"/>
  <c r="AK20"/>
  <c r="AJ20"/>
  <c r="AI20"/>
  <c r="AN15"/>
  <c r="AJ15"/>
  <c r="AM15"/>
  <c r="AL15"/>
  <c r="AC30" l="1"/>
  <c r="L31"/>
  <c r="L30"/>
  <c r="L29"/>
  <c r="W29"/>
  <c r="W31"/>
  <c r="W30"/>
  <c r="AG20"/>
  <c r="AH20"/>
  <c r="AF20"/>
  <c r="AH13"/>
  <c r="AF13"/>
  <c r="BU28"/>
  <c r="BU27"/>
  <c r="AL21" s="1"/>
  <c r="BU26"/>
  <c r="BU25"/>
  <c r="AI21" s="1"/>
  <c r="BU24"/>
  <c r="AF21" s="1"/>
  <c r="BU23"/>
  <c r="AM21" s="1"/>
  <c r="BU22"/>
  <c r="BU21"/>
  <c r="BU20"/>
  <c r="BU19"/>
  <c r="BU18"/>
  <c r="BU17"/>
  <c r="BU16"/>
  <c r="BU15"/>
  <c r="BU14"/>
  <c r="BU13"/>
  <c r="BU12"/>
  <c r="BU11"/>
  <c r="BU10"/>
  <c r="AI15"/>
  <c r="AH15"/>
  <c r="AF15"/>
  <c r="AK15"/>
  <c r="AG15"/>
  <c r="AG21" l="1"/>
  <c r="AK21"/>
  <c r="AN21"/>
  <c r="AJ21"/>
  <c r="AH21"/>
  <c r="C17" l="1"/>
  <c r="D17" s="1"/>
  <c r="E17" s="1"/>
  <c r="F17" s="1"/>
  <c r="R17" s="1"/>
  <c r="B15"/>
  <c r="AL9" s="1"/>
  <c r="B14"/>
  <c r="AI9" s="1"/>
  <c r="B13"/>
  <c r="AF9" s="1"/>
  <c r="AB23"/>
  <c r="AA23"/>
  <c r="AB22"/>
  <c r="AC22" s="1"/>
  <c r="AA22"/>
  <c r="AC23" l="1"/>
  <c r="O17"/>
  <c r="AB17" s="1"/>
  <c r="AC17" s="1"/>
  <c r="X17"/>
  <c r="D19" l="1"/>
  <c r="E19" s="1"/>
  <c r="F19" s="1"/>
  <c r="R19" s="1"/>
  <c r="N23"/>
  <c r="Q23" s="1"/>
  <c r="N22"/>
  <c r="Q22" s="1"/>
  <c r="D47" i="6"/>
  <c r="D41"/>
  <c r="D28"/>
  <c r="I25"/>
  <c r="I28"/>
  <c r="F28"/>
  <c r="E28"/>
  <c r="F25"/>
  <c r="E25"/>
  <c r="D25"/>
  <c r="D11"/>
  <c r="E11"/>
  <c r="F11"/>
  <c r="I11"/>
  <c r="X19" i="5" l="1"/>
  <c r="P19"/>
  <c r="O19"/>
  <c r="AB19" s="1"/>
  <c r="D17" i="10"/>
  <c r="I12" i="6"/>
  <c r="P31"/>
  <c r="M19" i="5" l="1"/>
  <c r="W19"/>
  <c r="I29" i="6"/>
  <c r="I26"/>
  <c r="K19" i="5" l="1"/>
  <c r="AA19"/>
  <c r="AC19" s="1"/>
  <c r="N19"/>
  <c r="Q19" s="1"/>
  <c r="D12" i="6"/>
  <c r="E12"/>
  <c r="F12"/>
  <c r="D26" l="1"/>
  <c r="D31" s="1"/>
  <c r="D29"/>
  <c r="E26"/>
  <c r="E31" s="1"/>
  <c r="E29"/>
  <c r="F26"/>
  <c r="F31" s="1"/>
  <c r="F29"/>
  <c r="P22" l="1"/>
  <c r="P21"/>
  <c r="P20"/>
  <c r="P19"/>
  <c r="P18"/>
  <c r="P17"/>
  <c r="F16" s="1"/>
  <c r="P16"/>
  <c r="P15"/>
  <c r="P14"/>
  <c r="D16" s="1"/>
  <c r="P13"/>
  <c r="P12"/>
  <c r="P11"/>
  <c r="P10"/>
  <c r="P9"/>
  <c r="P8"/>
  <c r="P7"/>
  <c r="P6"/>
  <c r="P5"/>
  <c r="P4"/>
  <c r="D17"/>
  <c r="F17"/>
  <c r="E16" l="1"/>
  <c r="I16"/>
  <c r="F18"/>
  <c r="I17"/>
  <c r="E17"/>
  <c r="I18" l="1"/>
  <c r="I19"/>
  <c r="I20"/>
  <c r="D19" l="1"/>
  <c r="D20"/>
  <c r="D18" l="1"/>
  <c r="F19"/>
  <c r="E19"/>
  <c r="E18"/>
  <c r="F20"/>
  <c r="E20"/>
  <c r="C11" i="3" l="1"/>
  <c r="C12" s="1"/>
  <c r="D12" s="1"/>
  <c r="R23" i="5"/>
  <c r="P23"/>
  <c r="W23" s="1"/>
  <c r="K23"/>
  <c r="E23"/>
  <c r="F23" s="1"/>
  <c r="F21"/>
  <c r="R22"/>
  <c r="P22"/>
  <c r="W22" s="1"/>
  <c r="E22"/>
  <c r="F22" s="1"/>
  <c r="O21"/>
  <c r="AB21" s="1"/>
  <c r="L21"/>
  <c r="D11" i="3" l="1"/>
  <c r="L23" i="5"/>
  <c r="X23"/>
  <c r="X21"/>
  <c r="M21" l="1"/>
  <c r="AA21" s="1"/>
  <c r="AC21" s="1"/>
  <c r="W21"/>
  <c r="K21" l="1"/>
  <c r="N21"/>
  <c r="Q21" s="1"/>
  <c r="E14"/>
  <c r="F14" s="1"/>
  <c r="R14" s="1"/>
  <c r="E10" i="7" s="1"/>
  <c r="E15" i="5"/>
  <c r="F15" s="1"/>
  <c r="R15" s="1"/>
  <c r="F10" i="7" s="1"/>
  <c r="P15" i="5" l="1"/>
  <c r="F12" i="7" s="1"/>
  <c r="O15" i="5"/>
  <c r="X15"/>
  <c r="P14"/>
  <c r="E12" i="7" s="1"/>
  <c r="X14" i="5"/>
  <c r="O14"/>
  <c r="E13"/>
  <c r="F13" s="1"/>
  <c r="R13" s="1"/>
  <c r="AB14" l="1"/>
  <c r="AK12"/>
  <c r="AB15"/>
  <c r="AN12"/>
  <c r="O13"/>
  <c r="W15"/>
  <c r="M15"/>
  <c r="M14"/>
  <c r="W14"/>
  <c r="P13"/>
  <c r="X13"/>
  <c r="AK22"/>
  <c r="AN22"/>
  <c r="AN23" l="1"/>
  <c r="AK23"/>
  <c r="AA15"/>
  <c r="AC15" s="1"/>
  <c r="AL12"/>
  <c r="AA14"/>
  <c r="AC14" s="1"/>
  <c r="AI12"/>
  <c r="AN16"/>
  <c r="AN24"/>
  <c r="AB13"/>
  <c r="AH12"/>
  <c r="AH16" s="1"/>
  <c r="AK16"/>
  <c r="AK24"/>
  <c r="K15"/>
  <c r="K14"/>
  <c r="N14"/>
  <c r="N15"/>
  <c r="W13"/>
  <c r="M13"/>
  <c r="D20" i="2"/>
  <c r="K22" i="5"/>
  <c r="X22"/>
  <c r="L22"/>
  <c r="E16" i="10"/>
  <c r="AL22" i="5"/>
  <c r="AN25"/>
  <c r="AK25"/>
  <c r="AI22"/>
  <c r="AI23" l="1"/>
  <c r="AL23"/>
  <c r="AA13"/>
  <c r="AC13" s="1"/>
  <c r="AF12"/>
  <c r="AI24"/>
  <c r="AI16"/>
  <c r="Q14"/>
  <c r="E11" i="7" s="1"/>
  <c r="AJ12" i="5"/>
  <c r="Q15"/>
  <c r="F11" i="7" s="1"/>
  <c r="AM12" i="5"/>
  <c r="AL16"/>
  <c r="AL24"/>
  <c r="K13"/>
  <c r="N13"/>
  <c r="AF22"/>
  <c r="AJ22"/>
  <c r="AM22"/>
  <c r="AL25"/>
  <c r="AI25"/>
  <c r="AH22"/>
  <c r="AM23" l="1"/>
  <c r="AJ23"/>
  <c r="AF23"/>
  <c r="Q13"/>
  <c r="AG12"/>
  <c r="AM24"/>
  <c r="AM16"/>
  <c r="AJ16"/>
  <c r="AJ24"/>
  <c r="AF16"/>
  <c r="AH23"/>
  <c r="AF24"/>
  <c r="AG24"/>
  <c r="AH24"/>
  <c r="AM25"/>
  <c r="AG22"/>
  <c r="AJ25"/>
  <c r="AF25"/>
  <c r="AG25"/>
  <c r="AH25"/>
  <c r="AG23" l="1"/>
  <c r="AG16"/>
</calcChain>
</file>

<file path=xl/sharedStrings.xml><?xml version="1.0" encoding="utf-8"?>
<sst xmlns="http://schemas.openxmlformats.org/spreadsheetml/2006/main" count="409" uniqueCount="230">
  <si>
    <t xml:space="preserve">Module </t>
  </si>
  <si>
    <t>Données d'entrée dimensionnante</t>
  </si>
  <si>
    <t>Interne : ALAT</t>
  </si>
  <si>
    <t>Extrerne : Client</t>
  </si>
  <si>
    <t>Ratio débit volumique LP/MP</t>
  </si>
  <si>
    <t>Ratio débit volumique VLP/LP</t>
  </si>
  <si>
    <t>Débit volumique HP (m3/h)</t>
  </si>
  <si>
    <t>dP LP (mbar)</t>
  </si>
  <si>
    <t>débit VLP (m3/h)</t>
  </si>
  <si>
    <t>dP VLP (mbar)</t>
  </si>
  <si>
    <t>Isolation (Perlite/vide)</t>
  </si>
  <si>
    <t>HX vertical (O/N)</t>
  </si>
  <si>
    <t>LN2 (O/N)</t>
  </si>
  <si>
    <t>Ratio débit volumique turbine/HP</t>
  </si>
  <si>
    <t>Mise en froid Application (O/N)</t>
  </si>
  <si>
    <t>Retour LP 80K (O/N)</t>
  </si>
  <si>
    <t>Ratio débit volumique turbines /HP</t>
  </si>
  <si>
    <t>Refroidir l'Helium de 300K à Temp Adsorbeur 80K</t>
  </si>
  <si>
    <t>Refroidir l'Helium de Temp Adsorbeur 80K à Temp Adsorbeur 20K</t>
  </si>
  <si>
    <t>HX supplementaire -&gt; Temp Ads 80K (O/N)</t>
  </si>
  <si>
    <t>Retour LP intermediaire (O/N)</t>
  </si>
  <si>
    <t>Encombrement maxi Boite Froide</t>
  </si>
  <si>
    <t xml:space="preserve">dT min HX </t>
  </si>
  <si>
    <t>Ecrans (O/N)</t>
  </si>
  <si>
    <t>Pression min écan (bar)</t>
  </si>
  <si>
    <t>Ratio débit volumique écran/HP</t>
  </si>
  <si>
    <t>dP écran (mbar)</t>
  </si>
  <si>
    <t>Temp alim écran (K)</t>
  </si>
  <si>
    <t>Refroidir l'Helium de Temp Adsorbeur 20K à 4.5K</t>
  </si>
  <si>
    <t>Temperature retour VLP (K)</t>
  </si>
  <si>
    <t>Retour LP 10K (O/N)</t>
  </si>
  <si>
    <t>Temp alim client (K)</t>
  </si>
  <si>
    <t>Pression alim client (bar)</t>
  </si>
  <si>
    <t>He Sub-cooler (O/N)</t>
  </si>
  <si>
    <t>Niveau montant (O/N)</t>
  </si>
  <si>
    <t>Impact</t>
  </si>
  <si>
    <t>dT min increase = compressor bigger</t>
  </si>
  <si>
    <t xml:space="preserve"> more flow = more section</t>
  </si>
  <si>
    <t>Low available dP --&gt; more section</t>
  </si>
  <si>
    <t>inside = vacuum / cold return --&gt; vacuum</t>
  </si>
  <si>
    <t>Change interfaces</t>
  </si>
  <si>
    <t>Données de sortie</t>
  </si>
  <si>
    <t>Longueur x hauetur x largeur</t>
  </si>
  <si>
    <t>piping interfaces position &amp; size</t>
  </si>
  <si>
    <t>N2 or turbines interfaces ?</t>
  </si>
  <si>
    <t>HP inlet size</t>
  </si>
  <si>
    <t>MP outlet size</t>
  </si>
  <si>
    <t>LP outlet size</t>
  </si>
  <si>
    <t>6"</t>
  </si>
  <si>
    <t>10"</t>
  </si>
  <si>
    <t>2" + 4"</t>
  </si>
  <si>
    <t>7mx</t>
  </si>
  <si>
    <t>standard ~10% au niveau Témp T3outlet, retour entrée T3</t>
  </si>
  <si>
    <t xml:space="preserve">interfaces </t>
  </si>
  <si>
    <t>Retour LP &gt;20K (O/N)</t>
  </si>
  <si>
    <t>Bloc HX 300K-&gt; 200K</t>
  </si>
  <si>
    <t>Length</t>
  </si>
  <si>
    <t>Width</t>
  </si>
  <si>
    <t>Height</t>
  </si>
  <si>
    <t>variable</t>
  </si>
  <si>
    <t>Weight</t>
  </si>
  <si>
    <t>NU</t>
  </si>
  <si>
    <t>UA</t>
  </si>
  <si>
    <t>Screw Size</t>
  </si>
  <si>
    <t>Volume</t>
  </si>
  <si>
    <t>Refrigerator</t>
  </si>
  <si>
    <t>Power
@ 4,5K</t>
  </si>
  <si>
    <t>Eff.</t>
  </si>
  <si>
    <t>Actual flow
(process need)</t>
  </si>
  <si>
    <t>NEED
(screw displacement)</t>
  </si>
  <si>
    <t>T
(K)</t>
  </si>
  <si>
    <t>LP/HP</t>
  </si>
  <si>
    <t>LP
(Am3/h)</t>
  </si>
  <si>
    <t>HP
(Am3/h)</t>
  </si>
  <si>
    <t>%vol
LP</t>
  </si>
  <si>
    <t>%vol
HP</t>
  </si>
  <si>
    <t>Nb_LP</t>
  </si>
  <si>
    <t>Nb_HP</t>
  </si>
  <si>
    <t>%iso
LP</t>
  </si>
  <si>
    <t>%iso
HP</t>
  </si>
  <si>
    <t>mass flow
(process need)</t>
  </si>
  <si>
    <t>Power = P1*Q1*ln(P2/P1)</t>
  </si>
  <si>
    <t>P.Qv.ln(P2/P1)</t>
  </si>
  <si>
    <t>air molar mass</t>
  </si>
  <si>
    <t>air density</t>
  </si>
  <si>
    <t>Ratio m3/h
HP/LP</t>
  </si>
  <si>
    <t>ITER</t>
  </si>
  <si>
    <t>LEP</t>
  </si>
  <si>
    <t>LN2</t>
  </si>
  <si>
    <t>8Turbines</t>
  </si>
  <si>
    <t>7 Tu</t>
  </si>
  <si>
    <t>LEP 6 kW LINDE</t>
  </si>
  <si>
    <t>First Stage</t>
  </si>
  <si>
    <t>Vi^k=Pr</t>
  </si>
  <si>
    <t>Pint</t>
  </si>
  <si>
    <t>Pfin</t>
  </si>
  <si>
    <t>Fluid</t>
  </si>
  <si>
    <t>m (g/s)</t>
  </si>
  <si>
    <t>P(bar)</t>
  </si>
  <si>
    <t>T(K)</t>
  </si>
  <si>
    <t>Rho</t>
  </si>
  <si>
    <t>L (m)</t>
  </si>
  <si>
    <t>Elb.</t>
  </si>
  <si>
    <t>Din (mm)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</si>
  <si>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</rPr>
      <t>p pipe(mbar)</t>
    </r>
  </si>
  <si>
    <t>He/N2 à 27 bars</t>
  </si>
  <si>
    <t xml:space="preserve">A03S5HA </t>
  </si>
  <si>
    <t>Diamètre nominal</t>
  </si>
  <si>
    <t>NPS
(inch)</t>
  </si>
  <si>
    <r>
      <t>Ф</t>
    </r>
    <r>
      <rPr>
        <b/>
        <sz val="10"/>
        <rFont val="Arial"/>
        <family val="2"/>
      </rPr>
      <t>ext
(mm)</t>
    </r>
  </si>
  <si>
    <t>Epaisseur
(mm)</t>
  </si>
  <si>
    <t>Фint
(mm)</t>
  </si>
  <si>
    <t>1/4"</t>
  </si>
  <si>
    <t>3/8"</t>
  </si>
  <si>
    <t>1/2"</t>
  </si>
  <si>
    <t>3/4"</t>
  </si>
  <si>
    <t>1"</t>
  </si>
  <si>
    <t>1"1/4</t>
  </si>
  <si>
    <t>1"1/2</t>
  </si>
  <si>
    <t>2"</t>
  </si>
  <si>
    <t>2"1/2</t>
  </si>
  <si>
    <t>3"</t>
  </si>
  <si>
    <t>4"</t>
  </si>
  <si>
    <t>5"</t>
  </si>
  <si>
    <t>8"</t>
  </si>
  <si>
    <t>12"</t>
  </si>
  <si>
    <t>14"</t>
  </si>
  <si>
    <t>16"</t>
  </si>
  <si>
    <t>18"</t>
  </si>
  <si>
    <t>mach</t>
  </si>
  <si>
    <t>A</t>
  </si>
  <si>
    <t>B</t>
  </si>
  <si>
    <t>C</t>
  </si>
  <si>
    <t>Cartridge diameter (mm)</t>
  </si>
  <si>
    <t>Cartridge length (mm)</t>
  </si>
  <si>
    <t>Coalescer inner diameter (mm)</t>
  </si>
  <si>
    <t>Number of cartridges per coal.</t>
  </si>
  <si>
    <t>Filtration surface (m2)</t>
  </si>
  <si>
    <t>Gas speed across the filter (m/s)</t>
  </si>
  <si>
    <t>&lt;0,2m/s</t>
  </si>
  <si>
    <t>Cross section of the annulus (m2)</t>
  </si>
  <si>
    <t>Gas speed in the annulus (m/s)</t>
  </si>
  <si>
    <t>&lt;6m/s</t>
  </si>
  <si>
    <t>DP</t>
  </si>
  <si>
    <t>Data - Zander</t>
  </si>
  <si>
    <t>DP - Krhov² (mbar)</t>
  </si>
  <si>
    <t>rho (kg/m3)</t>
  </si>
  <si>
    <t>v (m/s)</t>
  </si>
  <si>
    <t>K</t>
  </si>
  <si>
    <t>DP (mbar)</t>
  </si>
  <si>
    <t>Speed (m/s)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</si>
  <si>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</rPr>
      <t>p pipe Linear (mbar/m)</t>
    </r>
  </si>
  <si>
    <t>Q (m3/h)</t>
  </si>
  <si>
    <t>JT60SA</t>
  </si>
  <si>
    <t>COALESCERS</t>
  </si>
  <si>
    <t>Number of stage</t>
  </si>
  <si>
    <t>ppm</t>
  </si>
  <si>
    <t>CS</t>
  </si>
  <si>
    <t>%</t>
  </si>
  <si>
    <t>CF</t>
  </si>
  <si>
    <t>CSF</t>
  </si>
  <si>
    <t>20 mg/m³</t>
  </si>
  <si>
    <t>mg/m3</t>
  </si>
  <si>
    <t>Produce 80K</t>
  </si>
  <si>
    <t>Piping Interface</t>
  </si>
  <si>
    <t>HP 300K</t>
  </si>
  <si>
    <t>LP 300K</t>
  </si>
  <si>
    <t>MP 300K</t>
  </si>
  <si>
    <t>m_LP
(g/s)</t>
  </si>
  <si>
    <t>m_HP
(g/s)</t>
  </si>
  <si>
    <t>m_MP
(g/s)</t>
  </si>
  <si>
    <t>MP
(Am3/h)</t>
  </si>
  <si>
    <t>Turbine 1 supply</t>
  </si>
  <si>
    <t>Turbine 2 return</t>
  </si>
  <si>
    <t>Turbine 2 supply</t>
  </si>
  <si>
    <t>VLP 300K (option)</t>
  </si>
  <si>
    <t>HP 80K</t>
  </si>
  <si>
    <t>MP 80K</t>
  </si>
  <si>
    <t>LP 80K</t>
  </si>
  <si>
    <t>VLP 80K (option)</t>
  </si>
  <si>
    <t>Volumetric flow</t>
  </si>
  <si>
    <t>Criteria</t>
  </si>
  <si>
    <t>Bloc Size</t>
  </si>
  <si>
    <t>Depend on flow volume --&gt; more layer</t>
  </si>
  <si>
    <t>Return addtionnel (Option)</t>
  </si>
  <si>
    <t>Dtmin</t>
  </si>
  <si>
    <t>Compressors</t>
  </si>
  <si>
    <t>ORS - Coalescers</t>
  </si>
  <si>
    <t>ORS - Charcoal Tower</t>
  </si>
  <si>
    <t>Produce 20K</t>
  </si>
  <si>
    <t>Produce 4,5K</t>
  </si>
  <si>
    <t>Adsorbers 80K</t>
  </si>
  <si>
    <t>Size A</t>
  </si>
  <si>
    <t>Size B</t>
  </si>
  <si>
    <t>Size C</t>
  </si>
  <si>
    <t>Volume to pump</t>
  </si>
  <si>
    <t>P1 (mbar)</t>
  </si>
  <si>
    <t>P2 (mbar)</t>
  </si>
  <si>
    <t>t (h)</t>
  </si>
  <si>
    <t>S m3/h</t>
  </si>
  <si>
    <t>Primary Pump Capacity</t>
  </si>
  <si>
    <t>&lt;0,07m/s</t>
  </si>
  <si>
    <t>Power
(kW)</t>
  </si>
  <si>
    <t>Electrical Power</t>
  </si>
  <si>
    <t>Total
(KW)</t>
  </si>
  <si>
    <t>HP
(bar a)</t>
  </si>
  <si>
    <t>MP
(bar a)</t>
  </si>
  <si>
    <t>LP
(bar a)</t>
  </si>
  <si>
    <t>One Stage</t>
  </si>
  <si>
    <t>Two Stage</t>
  </si>
  <si>
    <t>Refrigerator 15K</t>
  </si>
  <si>
    <t>LP comp
(kW)</t>
  </si>
  <si>
    <t>HP comp
(kW)</t>
  </si>
  <si>
    <t>HP</t>
  </si>
  <si>
    <t>MP</t>
  </si>
  <si>
    <t>LP</t>
  </si>
  <si>
    <t>m</t>
  </si>
  <si>
    <t>Tin</t>
  </si>
  <si>
    <t>Tout</t>
  </si>
  <si>
    <t>Pin</t>
  </si>
  <si>
    <t>dT</t>
  </si>
  <si>
    <t>Pout</t>
  </si>
  <si>
    <t>dP (mbar)</t>
  </si>
  <si>
    <t>TS</t>
  </si>
  <si>
    <t>VLP</t>
  </si>
  <si>
    <t>path</t>
  </si>
  <si>
    <t>dummy</t>
  </si>
  <si>
    <t>HX1 (Produce 80K)</t>
  </si>
  <si>
    <t>total</t>
  </si>
  <si>
    <t>VERSION GUILLAUME HYSYS</t>
  </si>
</sst>
</file>

<file path=xl/styles.xml><?xml version="1.0" encoding="utf-8"?>
<styleSheet xmlns="http://schemas.openxmlformats.org/spreadsheetml/2006/main">
  <numFmts count="13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\ _€_-;\-* #,##0.0\ _€_-;_-* &quot;-&quot;??\ _€_-;_-@_-"/>
    <numFmt numFmtId="166" formatCode="0.000"/>
    <numFmt numFmtId="167" formatCode="0.0"/>
    <numFmt numFmtId="168" formatCode="&quot;DN &quot;General"/>
    <numFmt numFmtId="169" formatCode="#,##0_ ;\-#,##0\ "/>
    <numFmt numFmtId="170" formatCode="#,##0&quot; m3&quot;"/>
    <numFmt numFmtId="171" formatCode="#,##0.00&quot; m3/h&quot;"/>
    <numFmt numFmtId="172" formatCode="#,##0.00&quot; h&quot;"/>
    <numFmt numFmtId="173" formatCode="_(* #,##0.00_);_(* \(#,##0.00\);_(* &quot;-&quot;??_);_(@_)"/>
    <numFmt numFmtId="174" formatCode="0.0%"/>
    <numFmt numFmtId="175" formatCode="00&quot; in&quot;"/>
  </numFmts>
  <fonts count="20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rgb="FF0000CC"/>
      <name val="Calibri"/>
      <family val="2"/>
      <scheme val="minor"/>
    </font>
    <font>
      <b/>
      <sz val="10"/>
      <color rgb="FF0000CC"/>
      <name val="Times New Roman"/>
      <family val="1"/>
    </font>
    <font>
      <b/>
      <sz val="11"/>
      <color theme="1"/>
      <name val="Calibri"/>
      <family val="2"/>
    </font>
    <font>
      <b/>
      <sz val="11"/>
      <color theme="1"/>
      <name val="Symbol"/>
      <family val="1"/>
      <charset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rgb="FF00B05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CC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11" borderId="0"/>
    <xf numFmtId="17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10" borderId="17" applyNumberFormat="0" applyFont="0" applyAlignment="0" applyProtection="0"/>
  </cellStyleXfs>
  <cellXfs count="14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5" xfId="0" quotePrefix="1" applyFill="1" applyBorder="1" applyAlignment="1">
      <alignment horizontal="left"/>
    </xf>
    <xf numFmtId="0" fontId="0" fillId="3" borderId="5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0" fillId="3" borderId="4" xfId="0" applyFill="1" applyBorder="1"/>
    <xf numFmtId="0" fontId="3" fillId="3" borderId="0" xfId="0" applyFont="1" applyFill="1"/>
    <xf numFmtId="0" fontId="0" fillId="3" borderId="0" xfId="0" applyFill="1" applyBorder="1"/>
    <xf numFmtId="0" fontId="0" fillId="3" borderId="0" xfId="0" applyFill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3" borderId="0" xfId="0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9" fontId="0" fillId="3" borderId="0" xfId="1" applyFont="1" applyFill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9" fontId="5" fillId="4" borderId="1" xfId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3" borderId="0" xfId="0" applyFill="1" applyAlignment="1">
      <alignment horizontal="right" vertical="top"/>
    </xf>
    <xf numFmtId="164" fontId="0" fillId="3" borderId="0" xfId="2" applyNumberFormat="1" applyFont="1" applyFill="1"/>
    <xf numFmtId="0" fontId="9" fillId="6" borderId="8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6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9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68" fontId="0" fillId="7" borderId="9" xfId="0" applyNumberFormat="1" applyFill="1" applyBorder="1" applyAlignment="1">
      <alignment horizontal="center" vertical="center"/>
    </xf>
    <xf numFmtId="0" fontId="0" fillId="7" borderId="9" xfId="0" applyNumberForma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2" fontId="0" fillId="7" borderId="9" xfId="0" applyNumberFormat="1" applyFill="1" applyBorder="1" applyAlignment="1">
      <alignment horizontal="center" vertical="center"/>
    </xf>
    <xf numFmtId="168" fontId="0" fillId="7" borderId="10" xfId="0" applyNumberFormat="1" applyFill="1" applyBorder="1" applyAlignment="1">
      <alignment horizontal="center" vertical="center"/>
    </xf>
    <xf numFmtId="0" fontId="0" fillId="7" borderId="10" xfId="0" applyNumberForma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2" fontId="0" fillId="7" borderId="10" xfId="0" applyNumberFormat="1" applyFill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0" fontId="0" fillId="8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8" fontId="0" fillId="0" borderId="11" xfId="0" applyNumberFormat="1" applyBorder="1" applyAlignment="1">
      <alignment horizontal="center" vertical="center"/>
    </xf>
    <xf numFmtId="0" fontId="0" fillId="8" borderId="11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68" fontId="5" fillId="7" borderId="1" xfId="0" applyNumberFormat="1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left" vertical="center"/>
    </xf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4" xfId="0" applyBorder="1"/>
    <xf numFmtId="0" fontId="3" fillId="3" borderId="1" xfId="0" applyFont="1" applyFill="1" applyBorder="1" applyAlignment="1">
      <alignment horizontal="left" vertical="center"/>
    </xf>
    <xf numFmtId="43" fontId="0" fillId="3" borderId="1" xfId="2" applyNumberFormat="1" applyFont="1" applyFill="1" applyBorder="1" applyAlignment="1">
      <alignment horizontal="center" vertical="center"/>
    </xf>
    <xf numFmtId="165" fontId="0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7" fontId="0" fillId="2" borderId="1" xfId="0" applyNumberFormat="1" applyFill="1" applyBorder="1" applyAlignment="1">
      <alignment horizontal="center" vertical="center"/>
    </xf>
    <xf numFmtId="167" fontId="0" fillId="0" borderId="15" xfId="0" applyNumberFormat="1" applyBorder="1" applyAlignment="1">
      <alignment horizontal="center"/>
    </xf>
    <xf numFmtId="0" fontId="3" fillId="3" borderId="13" xfId="0" applyFont="1" applyFill="1" applyBorder="1"/>
    <xf numFmtId="0" fontId="12" fillId="3" borderId="13" xfId="0" applyFont="1" applyFill="1" applyBorder="1"/>
    <xf numFmtId="10" fontId="0" fillId="3" borderId="0" xfId="0" applyNumberFormat="1" applyFill="1"/>
    <xf numFmtId="164" fontId="13" fillId="3" borderId="1" xfId="0" applyNumberFormat="1" applyFont="1" applyFill="1" applyBorder="1" applyAlignment="1">
      <alignment horizontal="center" vertical="center" wrapText="1"/>
    </xf>
    <xf numFmtId="169" fontId="0" fillId="3" borderId="0" xfId="2" applyNumberFormat="1" applyFont="1" applyFill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0" xfId="0" applyFill="1" applyAlignment="1">
      <alignment horizontal="left"/>
    </xf>
    <xf numFmtId="0" fontId="9" fillId="8" borderId="16" xfId="0" applyFont="1" applyFill="1" applyBorder="1" applyAlignment="1">
      <alignment horizontal="left"/>
    </xf>
    <xf numFmtId="0" fontId="0" fillId="8" borderId="16" xfId="0" applyFill="1" applyBorder="1"/>
    <xf numFmtId="0" fontId="0" fillId="8" borderId="0" xfId="0" applyFill="1" applyBorder="1"/>
    <xf numFmtId="0" fontId="9" fillId="8" borderId="0" xfId="0" applyFont="1" applyFill="1" applyBorder="1" applyAlignment="1">
      <alignment horizontal="left"/>
    </xf>
    <xf numFmtId="0" fontId="9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170" fontId="14" fillId="4" borderId="0" xfId="0" applyNumberFormat="1" applyFont="1" applyFill="1" applyBorder="1" applyAlignment="1">
      <alignment horizontal="center"/>
    </xf>
    <xf numFmtId="171" fontId="15" fillId="8" borderId="0" xfId="0" applyNumberFormat="1" applyFont="1" applyFill="1" applyAlignment="1">
      <alignment horizontal="center"/>
    </xf>
    <xf numFmtId="172" fontId="16" fillId="8" borderId="0" xfId="0" applyNumberFormat="1" applyFont="1" applyFill="1" applyBorder="1" applyAlignment="1">
      <alignment horizontal="center"/>
    </xf>
    <xf numFmtId="172" fontId="5" fillId="4" borderId="0" xfId="0" applyNumberFormat="1" applyFont="1" applyFill="1" applyBorder="1" applyAlignment="1">
      <alignment horizontal="center"/>
    </xf>
    <xf numFmtId="171" fontId="14" fillId="4" borderId="0" xfId="0" applyNumberFormat="1" applyFont="1" applyFill="1" applyAlignment="1">
      <alignment horizontal="center"/>
    </xf>
    <xf numFmtId="0" fontId="4" fillId="3" borderId="14" xfId="0" applyFont="1" applyFill="1" applyBorder="1" applyAlignment="1">
      <alignment horizontal="centerContinuous" vertical="top" wrapText="1"/>
    </xf>
    <xf numFmtId="0" fontId="4" fillId="3" borderId="18" xfId="0" applyFont="1" applyFill="1" applyBorder="1" applyAlignment="1">
      <alignment horizontal="centerContinuous" vertical="top" wrapText="1"/>
    </xf>
    <xf numFmtId="0" fontId="4" fillId="3" borderId="15" xfId="0" applyFont="1" applyFill="1" applyBorder="1" applyAlignment="1">
      <alignment horizontal="centerContinuous" vertical="top" wrapText="1"/>
    </xf>
    <xf numFmtId="0" fontId="17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174" fontId="0" fillId="3" borderId="0" xfId="1" applyNumberFormat="1" applyFont="1" applyFill="1" applyAlignment="1">
      <alignment vertical="center"/>
    </xf>
    <xf numFmtId="167" fontId="5" fillId="4" borderId="0" xfId="0" applyNumberFormat="1" applyFont="1" applyFill="1" applyAlignment="1">
      <alignment horizontal="center" vertical="center"/>
    </xf>
    <xf numFmtId="0" fontId="0" fillId="12" borderId="1" xfId="0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top" wrapText="1"/>
    </xf>
    <xf numFmtId="0" fontId="0" fillId="13" borderId="19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1" fontId="5" fillId="9" borderId="1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/>
    </xf>
    <xf numFmtId="0" fontId="5" fillId="9" borderId="23" xfId="0" applyFont="1" applyFill="1" applyBorder="1" applyAlignment="1">
      <alignment horizontal="center" vertical="center"/>
    </xf>
    <xf numFmtId="1" fontId="5" fillId="9" borderId="22" xfId="0" applyNumberFormat="1" applyFont="1" applyFill="1" applyBorder="1" applyAlignment="1">
      <alignment horizontal="center" vertical="center"/>
    </xf>
    <xf numFmtId="1" fontId="5" fillId="9" borderId="23" xfId="0" applyNumberFormat="1" applyFont="1" applyFill="1" applyBorder="1" applyAlignment="1">
      <alignment horizontal="center" vertical="center"/>
    </xf>
    <xf numFmtId="2" fontId="0" fillId="3" borderId="22" xfId="0" applyNumberFormat="1" applyFill="1" applyBorder="1" applyAlignment="1">
      <alignment horizontal="center" vertical="center"/>
    </xf>
    <xf numFmtId="2" fontId="0" fillId="3" borderId="23" xfId="0" applyNumberFormat="1" applyFill="1" applyBorder="1" applyAlignment="1">
      <alignment horizontal="center" vertical="center"/>
    </xf>
    <xf numFmtId="167" fontId="0" fillId="2" borderId="22" xfId="0" applyNumberFormat="1" applyFill="1" applyBorder="1" applyAlignment="1">
      <alignment horizontal="center" vertical="center"/>
    </xf>
    <xf numFmtId="167" fontId="0" fillId="2" borderId="23" xfId="0" applyNumberFormat="1" applyFill="1" applyBorder="1" applyAlignment="1">
      <alignment horizontal="center" vertical="center"/>
    </xf>
    <xf numFmtId="168" fontId="5" fillId="7" borderId="22" xfId="0" applyNumberFormat="1" applyFont="1" applyFill="1" applyBorder="1" applyAlignment="1">
      <alignment horizontal="center" vertical="center"/>
    </xf>
    <xf numFmtId="168" fontId="5" fillId="7" borderId="23" xfId="0" applyNumberFormat="1" applyFont="1" applyFill="1" applyBorder="1" applyAlignment="1">
      <alignment horizontal="center" vertical="center"/>
    </xf>
    <xf numFmtId="175" fontId="0" fillId="3" borderId="24" xfId="0" applyNumberFormat="1" applyFill="1" applyBorder="1" applyAlignment="1">
      <alignment horizontal="center"/>
    </xf>
    <xf numFmtId="175" fontId="0" fillId="3" borderId="0" xfId="0" applyNumberFormat="1" applyFill="1" applyBorder="1" applyAlignment="1">
      <alignment horizontal="center"/>
    </xf>
    <xf numFmtId="175" fontId="0" fillId="3" borderId="19" xfId="0" applyNumberFormat="1" applyFill="1" applyBorder="1" applyAlignment="1">
      <alignment horizontal="center"/>
    </xf>
    <xf numFmtId="165" fontId="0" fillId="3" borderId="22" xfId="2" applyNumberFormat="1" applyFont="1" applyFill="1" applyBorder="1" applyAlignment="1">
      <alignment horizontal="center" vertical="center"/>
    </xf>
    <xf numFmtId="165" fontId="0" fillId="3" borderId="23" xfId="2" applyNumberFormat="1" applyFont="1" applyFill="1" applyBorder="1" applyAlignment="1">
      <alignment horizontal="center" vertical="center"/>
    </xf>
    <xf numFmtId="0" fontId="0" fillId="3" borderId="22" xfId="2" applyNumberFormat="1" applyFont="1" applyFill="1" applyBorder="1" applyAlignment="1">
      <alignment horizontal="center" vertical="center"/>
    </xf>
    <xf numFmtId="43" fontId="0" fillId="3" borderId="25" xfId="2" applyNumberFormat="1" applyFont="1" applyFill="1" applyBorder="1" applyAlignment="1">
      <alignment horizontal="center" vertical="center"/>
    </xf>
    <xf numFmtId="43" fontId="0" fillId="3" borderId="26" xfId="2" applyNumberFormat="1" applyFont="1" applyFill="1" applyBorder="1" applyAlignment="1">
      <alignment horizontal="center" vertical="center"/>
    </xf>
    <xf numFmtId="43" fontId="0" fillId="3" borderId="27" xfId="2" applyNumberFormat="1" applyFont="1" applyFill="1" applyBorder="1" applyAlignment="1">
      <alignment horizontal="center" vertical="center"/>
    </xf>
    <xf numFmtId="164" fontId="5" fillId="9" borderId="23" xfId="0" applyNumberFormat="1" applyFont="1" applyFill="1" applyBorder="1" applyAlignment="1">
      <alignment horizontal="center" vertical="center"/>
    </xf>
    <xf numFmtId="43" fontId="0" fillId="3" borderId="23" xfId="2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Continuous" vertical="center"/>
    </xf>
    <xf numFmtId="0" fontId="3" fillId="3" borderId="21" xfId="0" applyFont="1" applyFill="1" applyBorder="1" applyAlignment="1">
      <alignment horizontal="centerContinuous" vertical="center"/>
    </xf>
    <xf numFmtId="0" fontId="3" fillId="3" borderId="28" xfId="0" applyFont="1" applyFill="1" applyBorder="1" applyAlignment="1">
      <alignment horizontal="centerContinuous" vertical="center"/>
    </xf>
    <xf numFmtId="0" fontId="5" fillId="4" borderId="0" xfId="0" applyFont="1" applyFill="1"/>
    <xf numFmtId="0" fontId="13" fillId="3" borderId="0" xfId="0" applyFont="1" applyFill="1"/>
    <xf numFmtId="0" fontId="1" fillId="2" borderId="1" xfId="0" applyFont="1" applyFill="1" applyBorder="1" applyAlignment="1">
      <alignment horizontal="center"/>
    </xf>
  </cellXfs>
  <cellStyles count="7">
    <cellStyle name="Comma" xfId="2" builtinId="3"/>
    <cellStyle name="Comma 2" xfId="4"/>
    <cellStyle name="Normal" xfId="0" builtinId="0"/>
    <cellStyle name="Normal 2" xfId="3"/>
    <cellStyle name="Note 2" xfId="6"/>
    <cellStyle name="Percent" xfId="1" builtinId="5"/>
    <cellStyle name="Percent 2" xfId="5"/>
  </cellStyles>
  <dxfs count="0"/>
  <tableStyles count="0" defaultTableStyle="TableStyleMedium9" defaultPivotStyle="PivotStyleLight16"/>
  <colors>
    <mruColors>
      <color rgb="FF0000CC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453904</xdr:colOff>
      <xdr:row>1</xdr:row>
      <xdr:rowOff>57150</xdr:rowOff>
    </xdr:from>
    <xdr:to>
      <xdr:col>26</xdr:col>
      <xdr:colOff>333375</xdr:colOff>
      <xdr:row>29</xdr:row>
      <xdr:rowOff>133350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74479" y="257175"/>
          <a:ext cx="5365871" cy="5734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145677</xdr:colOff>
      <xdr:row>29</xdr:row>
      <xdr:rowOff>22412</xdr:rowOff>
    </xdr:from>
    <xdr:to>
      <xdr:col>12</xdr:col>
      <xdr:colOff>102403</xdr:colOff>
      <xdr:row>59</xdr:row>
      <xdr:rowOff>187698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69206" y="5883088"/>
          <a:ext cx="2377197" cy="5880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392206</xdr:colOff>
      <xdr:row>31</xdr:row>
      <xdr:rowOff>123265</xdr:rowOff>
    </xdr:from>
    <xdr:to>
      <xdr:col>16</xdr:col>
      <xdr:colOff>189320</xdr:colOff>
      <xdr:row>43</xdr:row>
      <xdr:rowOff>84044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36206" y="6364941"/>
          <a:ext cx="2217585" cy="22467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21</xdr:row>
      <xdr:rowOff>171450</xdr:rowOff>
    </xdr:from>
    <xdr:to>
      <xdr:col>9</xdr:col>
      <xdr:colOff>721179</xdr:colOff>
      <xdr:row>42</xdr:row>
      <xdr:rowOff>97334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4171950"/>
          <a:ext cx="7464879" cy="392638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9</xdr:row>
      <xdr:rowOff>131884</xdr:rowOff>
    </xdr:from>
    <xdr:to>
      <xdr:col>4</xdr:col>
      <xdr:colOff>535598</xdr:colOff>
      <xdr:row>11</xdr:row>
      <xdr:rowOff>93784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19250" y="1846384"/>
          <a:ext cx="2352675" cy="3429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-s-dta-02\R-Projets$\GCRY\3010911-C2047-HELIAL%20KYOTO\Dossier%20de%20definition\DS%20-%20Data%20Sheets\C2047-DS-107-Lines%20List\C2047-DS-107%20Annex%201%20Dimensionnement%20pipes%20en%20cours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ncent.heloin/My%20Documents/SPEC%20VANNES/Valves_refprop_simp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ncent.heloin/My%20Documents/SPEC%20VANNES/Valves_refpr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ncent.heloin/Documents/Training/aaa/Thermal/exergi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rien.striebig/My%20Documents/Navantia/essa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ncent.heloin/Desktop/Shortcuts/macro_vh_97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mplantation"/>
      <sheetName val="Warm Lines"/>
      <sheetName val="Turbines Bearings"/>
      <sheetName val="Boite Froide Haut"/>
      <sheetName val="Boite Froide Bas"/>
      <sheetName val="ORS 1"/>
      <sheetName val="Lignes froides AL"/>
      <sheetName val="calcul"/>
      <sheetName val="Fluides"/>
      <sheetName val="Pipe diame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K2" t="str">
            <v>He</v>
          </cell>
        </row>
        <row r="3">
          <cell r="K3" t="str">
            <v>N2</v>
          </cell>
        </row>
      </sheetData>
      <sheetData sheetId="9">
        <row r="51">
          <cell r="B51">
            <v>0</v>
          </cell>
        </row>
        <row r="52">
          <cell r="B52">
            <v>1</v>
          </cell>
        </row>
        <row r="53">
          <cell r="B53">
            <v>2</v>
          </cell>
        </row>
        <row r="54">
          <cell r="B54">
            <v>3</v>
          </cell>
        </row>
        <row r="55">
          <cell r="B55">
            <v>4</v>
          </cell>
        </row>
        <row r="56">
          <cell r="B56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CV3110-Nm3(Refprop)"/>
      <sheetName val="Cover"/>
      <sheetName val="PCV301"/>
      <sheetName val="Fluids"/>
      <sheetName val="Data bas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CV301"/>
      <sheetName val="Fluids"/>
      <sheetName val="Data base"/>
      <sheetName val="FCV3110-Nm3(Refprop)"/>
    </sheetNames>
    <sheetDataSet>
      <sheetData sheetId="0" refreshError="1"/>
      <sheetData sheetId="1" refreshError="1"/>
      <sheetData sheetId="2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  <row r="69">
          <cell r="A69">
            <v>66</v>
          </cell>
        </row>
        <row r="70">
          <cell r="A70">
            <v>67</v>
          </cell>
        </row>
        <row r="71">
          <cell r="A71">
            <v>68</v>
          </cell>
        </row>
        <row r="72">
          <cell r="A72">
            <v>69</v>
          </cell>
        </row>
        <row r="73">
          <cell r="A73">
            <v>70</v>
          </cell>
        </row>
        <row r="74">
          <cell r="A74">
            <v>71</v>
          </cell>
        </row>
        <row r="75">
          <cell r="A75">
            <v>72</v>
          </cell>
        </row>
        <row r="76">
          <cell r="A76">
            <v>73</v>
          </cell>
        </row>
        <row r="77">
          <cell r="A77">
            <v>74</v>
          </cell>
        </row>
        <row r="78">
          <cell r="A78">
            <v>75</v>
          </cell>
        </row>
        <row r="79">
          <cell r="A79">
            <v>76</v>
          </cell>
        </row>
        <row r="80">
          <cell r="A80">
            <v>77</v>
          </cell>
        </row>
        <row r="81">
          <cell r="A81">
            <v>78</v>
          </cell>
        </row>
        <row r="82">
          <cell r="A82">
            <v>79</v>
          </cell>
        </row>
        <row r="83">
          <cell r="A83">
            <v>80</v>
          </cell>
        </row>
        <row r="84">
          <cell r="A84">
            <v>81</v>
          </cell>
        </row>
        <row r="85">
          <cell r="A85">
            <v>82</v>
          </cell>
        </row>
        <row r="86">
          <cell r="A86">
            <v>83</v>
          </cell>
        </row>
        <row r="87">
          <cell r="A87">
            <v>84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Exergie"/>
      <sheetName val="Property HePak"/>
      <sheetName val="Fluides"/>
      <sheetName val="Pipe diameter"/>
      <sheetName val="Sheet2"/>
      <sheetName val="Sheet2 (2)"/>
    </sheetNames>
    <sheetDataSet>
      <sheetData sheetId="0"/>
      <sheetData sheetId="1"/>
      <sheetData sheetId="2">
        <row r="7">
          <cell r="C7">
            <v>1</v>
          </cell>
          <cell r="D7">
            <v>2</v>
          </cell>
        </row>
        <row r="9">
          <cell r="C9">
            <v>120000</v>
          </cell>
          <cell r="D9">
            <v>4.3</v>
          </cell>
          <cell r="F9">
            <v>1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et calculs"/>
      <sheetName val="Hypothèse col sonique"/>
      <sheetName val="Unités SI"/>
      <sheetName val="Tableaux"/>
      <sheetName val="Infos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DP_mbar_iter"/>
      <definedName name="rho_"/>
      <definedName name="Sound_speed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C3:C8"/>
  <sheetViews>
    <sheetView workbookViewId="0">
      <selection activeCell="I8" sqref="I8"/>
    </sheetView>
  </sheetViews>
  <sheetFormatPr defaultRowHeight="15"/>
  <cols>
    <col min="1" max="2" width="9.140625" style="2"/>
    <col min="3" max="3" width="13.42578125" style="2" customWidth="1"/>
    <col min="4" max="16384" width="9.140625" style="2"/>
  </cols>
  <sheetData>
    <row r="3" spans="3:3">
      <c r="C3" s="2" t="s">
        <v>186</v>
      </c>
    </row>
    <row r="4" spans="3:3">
      <c r="C4" s="2" t="s">
        <v>187</v>
      </c>
    </row>
    <row r="5" spans="3:3">
      <c r="C5" s="2" t="s">
        <v>188</v>
      </c>
    </row>
    <row r="6" spans="3:3">
      <c r="C6" s="2" t="s">
        <v>163</v>
      </c>
    </row>
    <row r="7" spans="3:3">
      <c r="C7" s="2" t="s">
        <v>189</v>
      </c>
    </row>
    <row r="8" spans="3:3">
      <c r="C8" s="2" t="s">
        <v>190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>
      <selection activeCell="C5" sqref="C5"/>
    </sheetView>
  </sheetViews>
  <sheetFormatPr defaultRowHeight="15"/>
  <cols>
    <col min="1" max="16384" width="9.140625" style="2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C4:P32"/>
  <sheetViews>
    <sheetView zoomScale="85" zoomScaleNormal="85" workbookViewId="0">
      <selection activeCell="H44" sqref="H44"/>
    </sheetView>
  </sheetViews>
  <sheetFormatPr defaultColWidth="11.42578125" defaultRowHeight="15"/>
  <cols>
    <col min="1" max="2" width="11.42578125" style="2"/>
    <col min="3" max="3" width="30.42578125" style="2" customWidth="1"/>
    <col min="4" max="4" width="32.7109375" style="10" customWidth="1"/>
    <col min="5" max="5" width="31.5703125" style="10" customWidth="1"/>
    <col min="6" max="6" width="11.42578125" style="2"/>
    <col min="7" max="7" width="37.5703125" style="2" bestFit="1" customWidth="1"/>
    <col min="8" max="8" width="48.28515625" style="2" customWidth="1"/>
    <col min="9" max="16384" width="11.42578125" style="2"/>
  </cols>
  <sheetData>
    <row r="4" spans="3:16">
      <c r="L4" s="2" t="s">
        <v>55</v>
      </c>
    </row>
    <row r="5" spans="3:16">
      <c r="C5" s="140" t="s">
        <v>0</v>
      </c>
      <c r="D5" s="140" t="s">
        <v>1</v>
      </c>
      <c r="E5" s="140"/>
    </row>
    <row r="6" spans="3:16">
      <c r="C6" s="140"/>
      <c r="D6" s="1" t="s">
        <v>2</v>
      </c>
      <c r="E6" s="1" t="s">
        <v>3</v>
      </c>
      <c r="G6" s="2" t="s">
        <v>35</v>
      </c>
      <c r="H6" s="3" t="s">
        <v>41</v>
      </c>
      <c r="M6" s="10">
        <v>1</v>
      </c>
      <c r="N6" s="10">
        <v>2</v>
      </c>
      <c r="O6" s="10">
        <v>3</v>
      </c>
      <c r="P6" s="10"/>
    </row>
    <row r="7" spans="3:16" ht="30">
      <c r="C7" s="4" t="s">
        <v>17</v>
      </c>
      <c r="D7" s="5" t="s">
        <v>6</v>
      </c>
      <c r="E7" s="5" t="s">
        <v>12</v>
      </c>
      <c r="G7" s="6" t="s">
        <v>37</v>
      </c>
      <c r="H7" s="7" t="s">
        <v>45</v>
      </c>
      <c r="I7" s="8" t="s">
        <v>48</v>
      </c>
      <c r="L7" s="2" t="s">
        <v>56</v>
      </c>
    </row>
    <row r="8" spans="3:16">
      <c r="C8" s="9"/>
      <c r="D8" s="5" t="s">
        <v>13</v>
      </c>
      <c r="E8" s="5" t="s">
        <v>7</v>
      </c>
      <c r="G8" s="7" t="s">
        <v>38</v>
      </c>
      <c r="H8" s="10" t="s">
        <v>46</v>
      </c>
      <c r="I8" s="11" t="s">
        <v>48</v>
      </c>
      <c r="L8" s="2" t="s">
        <v>57</v>
      </c>
    </row>
    <row r="9" spans="3:16">
      <c r="C9" s="9"/>
      <c r="D9" s="5" t="s">
        <v>4</v>
      </c>
      <c r="E9" s="5" t="s">
        <v>8</v>
      </c>
      <c r="H9" s="10" t="s">
        <v>47</v>
      </c>
      <c r="I9" s="12" t="s">
        <v>49</v>
      </c>
      <c r="L9" s="2" t="s">
        <v>58</v>
      </c>
      <c r="P9" s="2" t="s">
        <v>59</v>
      </c>
    </row>
    <row r="10" spans="3:16">
      <c r="C10" s="9"/>
      <c r="D10" s="5" t="s">
        <v>5</v>
      </c>
      <c r="E10" s="5" t="s">
        <v>11</v>
      </c>
    </row>
    <row r="11" spans="3:16">
      <c r="C11" s="9"/>
      <c r="D11" s="5" t="s">
        <v>9</v>
      </c>
      <c r="E11" s="5" t="s">
        <v>10</v>
      </c>
      <c r="G11" s="2" t="s">
        <v>39</v>
      </c>
      <c r="H11" s="5" t="s">
        <v>42</v>
      </c>
      <c r="I11" s="11" t="s">
        <v>51</v>
      </c>
    </row>
    <row r="12" spans="3:16" ht="30">
      <c r="C12" s="9"/>
      <c r="D12" s="13" t="s">
        <v>19</v>
      </c>
      <c r="E12" s="5" t="s">
        <v>14</v>
      </c>
      <c r="G12" s="2" t="s">
        <v>40</v>
      </c>
      <c r="H12" s="5" t="s">
        <v>43</v>
      </c>
    </row>
    <row r="13" spans="3:16">
      <c r="C13" s="9"/>
      <c r="D13" s="5" t="s">
        <v>22</v>
      </c>
      <c r="E13" s="5" t="s">
        <v>15</v>
      </c>
      <c r="G13" s="2" t="s">
        <v>36</v>
      </c>
      <c r="H13" s="10" t="s">
        <v>44</v>
      </c>
      <c r="I13" s="14" t="s">
        <v>50</v>
      </c>
    </row>
    <row r="14" spans="3:16">
      <c r="C14" s="15"/>
      <c r="D14" s="5"/>
      <c r="E14" s="5" t="s">
        <v>21</v>
      </c>
    </row>
    <row r="16" spans="3:16" ht="45">
      <c r="C16" s="4" t="s">
        <v>18</v>
      </c>
      <c r="D16" s="5" t="s">
        <v>6</v>
      </c>
      <c r="E16" s="5" t="s">
        <v>7</v>
      </c>
    </row>
    <row r="17" spans="3:7">
      <c r="C17" s="9"/>
      <c r="D17" s="5" t="s">
        <v>16</v>
      </c>
      <c r="E17" s="5" t="s">
        <v>8</v>
      </c>
    </row>
    <row r="18" spans="3:7">
      <c r="C18" s="9"/>
      <c r="D18" s="5" t="s">
        <v>4</v>
      </c>
      <c r="E18" s="5" t="s">
        <v>11</v>
      </c>
    </row>
    <row r="19" spans="3:7">
      <c r="C19" s="9"/>
      <c r="D19" s="5" t="s">
        <v>5</v>
      </c>
      <c r="E19" s="5" t="s">
        <v>20</v>
      </c>
    </row>
    <row r="20" spans="3:7">
      <c r="C20" s="9"/>
      <c r="D20" s="5" t="s">
        <v>9</v>
      </c>
      <c r="E20" s="5" t="s">
        <v>54</v>
      </c>
    </row>
    <row r="21" spans="3:7">
      <c r="C21" s="9"/>
      <c r="D21" s="5"/>
      <c r="E21" s="5" t="s">
        <v>23</v>
      </c>
      <c r="G21" s="2" t="s">
        <v>53</v>
      </c>
    </row>
    <row r="22" spans="3:7">
      <c r="C22" s="9"/>
      <c r="D22" s="5"/>
      <c r="E22" s="5" t="s">
        <v>25</v>
      </c>
    </row>
    <row r="23" spans="3:7">
      <c r="C23" s="9"/>
      <c r="D23" s="5"/>
      <c r="E23" s="5" t="s">
        <v>24</v>
      </c>
    </row>
    <row r="24" spans="3:7">
      <c r="C24" s="9"/>
      <c r="D24" s="5"/>
      <c r="E24" s="5" t="s">
        <v>26</v>
      </c>
    </row>
    <row r="25" spans="3:7">
      <c r="C25" s="15"/>
      <c r="D25" s="5"/>
      <c r="E25" s="5" t="s">
        <v>27</v>
      </c>
      <c r="G25" s="2" t="s">
        <v>52</v>
      </c>
    </row>
    <row r="27" spans="3:7" ht="30">
      <c r="C27" s="4" t="s">
        <v>28</v>
      </c>
      <c r="D27" s="5" t="s">
        <v>6</v>
      </c>
      <c r="E27" s="5" t="s">
        <v>29</v>
      </c>
    </row>
    <row r="28" spans="3:7">
      <c r="C28" s="9"/>
      <c r="D28" s="5" t="s">
        <v>16</v>
      </c>
      <c r="E28" s="5" t="s">
        <v>30</v>
      </c>
    </row>
    <row r="29" spans="3:7">
      <c r="C29" s="9"/>
      <c r="D29" s="5"/>
      <c r="E29" s="5" t="s">
        <v>31</v>
      </c>
    </row>
    <row r="30" spans="3:7">
      <c r="C30" s="9"/>
      <c r="D30" s="5"/>
      <c r="E30" s="5" t="s">
        <v>32</v>
      </c>
    </row>
    <row r="31" spans="3:7">
      <c r="C31" s="9"/>
      <c r="D31" s="5"/>
      <c r="E31" s="5" t="s">
        <v>33</v>
      </c>
    </row>
    <row r="32" spans="3:7">
      <c r="C32" s="15"/>
      <c r="D32" s="5"/>
      <c r="E32" s="5" t="s">
        <v>34</v>
      </c>
    </row>
  </sheetData>
  <mergeCells count="2">
    <mergeCell ref="D5:E5"/>
    <mergeCell ref="C5:C6"/>
  </mergeCells>
  <pageMargins left="0.7" right="0.7" top="0.75" bottom="0.75" header="0.3" footer="0.3"/>
  <pageSetup paperSize="9" orientation="portrait" r:id="rId1"/>
  <legacyDrawing r:id="rId2"/>
  <oleObjects>
    <oleObject progId="Visio.Drawing.11" shapeId="1025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4:BV31"/>
  <sheetViews>
    <sheetView tabSelected="1" topLeftCell="B13" workbookViewId="0">
      <selection activeCell="K37" sqref="K37"/>
    </sheetView>
  </sheetViews>
  <sheetFormatPr defaultRowHeight="15" outlineLevelCol="1"/>
  <cols>
    <col min="1" max="1" width="19.5703125" style="2" bestFit="1" customWidth="1"/>
    <col min="2" max="2" width="23" style="2" bestFit="1" customWidth="1"/>
    <col min="3" max="3" width="9.7109375" style="2" customWidth="1" outlineLevel="1"/>
    <col min="4" max="5" width="9.140625" style="2" customWidth="1" outlineLevel="1"/>
    <col min="6" max="6" width="7.140625" style="2" customWidth="1" outlineLevel="1"/>
    <col min="7" max="7" width="4" style="2" bestFit="1" customWidth="1"/>
    <col min="8" max="10" width="6" style="2" bestFit="1" customWidth="1"/>
    <col min="11" max="12" width="6.28515625" style="2" customWidth="1" outlineLevel="1"/>
    <col min="13" max="13" width="5.7109375" style="2" bestFit="1" customWidth="1"/>
    <col min="14" max="14" width="6.140625" style="2" bestFit="1" customWidth="1"/>
    <col min="15" max="15" width="7.140625" style="2" bestFit="1" customWidth="1"/>
    <col min="16" max="16" width="8.140625" style="2" bestFit="1" customWidth="1"/>
    <col min="17" max="17" width="7.42578125" style="2" bestFit="1" customWidth="1"/>
    <col min="18" max="18" width="8.140625" style="2" bestFit="1" customWidth="1"/>
    <col min="19" max="20" width="5.28515625" style="2" bestFit="1" customWidth="1"/>
    <col min="21" max="21" width="6.42578125" style="2" bestFit="1" customWidth="1"/>
    <col min="22" max="22" width="6.5703125" style="2" bestFit="1" customWidth="1"/>
    <col min="23" max="23" width="9.28515625" style="2" customWidth="1"/>
    <col min="24" max="24" width="8.85546875" style="2" customWidth="1"/>
    <col min="25" max="26" width="5.42578125" style="2" bestFit="1" customWidth="1"/>
    <col min="27" max="27" width="7.140625" style="2" bestFit="1" customWidth="1"/>
    <col min="28" max="28" width="7.28515625" style="2" customWidth="1"/>
    <col min="29" max="29" width="7.140625" style="2" bestFit="1" customWidth="1"/>
    <col min="30" max="30" width="9.140625" style="2"/>
    <col min="31" max="31" width="23.28515625" style="2" bestFit="1" customWidth="1"/>
    <col min="32" max="16384" width="9.140625" style="2"/>
  </cols>
  <sheetData>
    <row r="4" spans="1:74">
      <c r="A4" s="2" t="s">
        <v>81</v>
      </c>
    </row>
    <row r="5" spans="1:74">
      <c r="A5" s="2" t="s">
        <v>82</v>
      </c>
    </row>
    <row r="7" spans="1:74" ht="15.75" thickBot="1"/>
    <row r="8" spans="1:74" ht="15.75" thickBot="1">
      <c r="A8" s="35" t="s">
        <v>83</v>
      </c>
      <c r="B8" s="18">
        <v>28.958600656000002</v>
      </c>
      <c r="C8" s="18"/>
      <c r="BQ8" s="39" t="s">
        <v>105</v>
      </c>
      <c r="BR8" s="38"/>
      <c r="BS8" s="64" t="s">
        <v>106</v>
      </c>
      <c r="BT8" s="65"/>
      <c r="BU8" s="65"/>
    </row>
    <row r="9" spans="1:74" ht="39" thickBot="1">
      <c r="A9" s="35" t="s">
        <v>84</v>
      </c>
      <c r="B9" s="18">
        <v>1.2758162153163073</v>
      </c>
      <c r="C9" s="18"/>
      <c r="AF9" s="135" t="str">
        <f>B13</f>
        <v>Refrigerator 5kW@4,5K</v>
      </c>
      <c r="AG9" s="136"/>
      <c r="AH9" s="137"/>
      <c r="AI9" s="135" t="str">
        <f>B14</f>
        <v>Refrigerator 10kW@4,5K</v>
      </c>
      <c r="AJ9" s="136"/>
      <c r="AK9" s="137"/>
      <c r="AL9" s="135" t="str">
        <f>B15</f>
        <v>Refrigerator 25kW@4,5K</v>
      </c>
      <c r="AM9" s="136"/>
      <c r="AN9" s="137"/>
      <c r="BQ9" s="37" t="s">
        <v>107</v>
      </c>
      <c r="BR9" s="37" t="s">
        <v>108</v>
      </c>
      <c r="BS9" s="37" t="s">
        <v>109</v>
      </c>
      <c r="BT9" s="37" t="s">
        <v>110</v>
      </c>
      <c r="BU9" s="37" t="s">
        <v>111</v>
      </c>
      <c r="BV9" s="106">
        <v>10</v>
      </c>
    </row>
    <row r="10" spans="1:74" ht="27.75" customHeight="1">
      <c r="G10" s="18"/>
      <c r="H10" s="18"/>
      <c r="I10" s="18"/>
      <c r="J10" s="18"/>
      <c r="K10" s="18"/>
      <c r="M10" s="96" t="s">
        <v>80</v>
      </c>
      <c r="N10" s="97"/>
      <c r="O10" s="98"/>
      <c r="P10" s="96" t="s">
        <v>68</v>
      </c>
      <c r="Q10" s="97"/>
      <c r="R10" s="98"/>
      <c r="S10" s="18"/>
      <c r="T10" s="18"/>
      <c r="U10" s="18"/>
      <c r="V10" s="18"/>
      <c r="W10" s="96" t="s">
        <v>69</v>
      </c>
      <c r="X10" s="98"/>
      <c r="Y10" s="18"/>
      <c r="Z10" s="18"/>
      <c r="AA10" s="96" t="s">
        <v>203</v>
      </c>
      <c r="AB10" s="97"/>
      <c r="AC10" s="98"/>
      <c r="AD10" s="18"/>
      <c r="AF10" s="112" t="s">
        <v>215</v>
      </c>
      <c r="AG10" s="42" t="s">
        <v>214</v>
      </c>
      <c r="AH10" s="113" t="s">
        <v>213</v>
      </c>
      <c r="AI10" s="112" t="s">
        <v>215</v>
      </c>
      <c r="AJ10" s="42" t="s">
        <v>214</v>
      </c>
      <c r="AK10" s="113" t="s">
        <v>213</v>
      </c>
      <c r="AL10" s="112" t="s">
        <v>215</v>
      </c>
      <c r="AM10" s="42" t="s">
        <v>214</v>
      </c>
      <c r="AN10" s="113" t="s">
        <v>213</v>
      </c>
      <c r="BQ10" s="44">
        <v>8</v>
      </c>
      <c r="BR10" s="45" t="s">
        <v>112</v>
      </c>
      <c r="BS10" s="46">
        <v>13.7</v>
      </c>
      <c r="BT10" s="47">
        <v>1.65</v>
      </c>
      <c r="BU10" s="46">
        <f>BS10-2*BT10</f>
        <v>10.399999999999999</v>
      </c>
      <c r="BV10" s="107">
        <v>10</v>
      </c>
    </row>
    <row r="11" spans="1:74" ht="27.75" customHeight="1">
      <c r="D11" s="99" t="s">
        <v>66</v>
      </c>
      <c r="E11" s="2" t="s">
        <v>67</v>
      </c>
      <c r="F11" s="19" t="s">
        <v>202</v>
      </c>
      <c r="G11" s="19" t="s">
        <v>70</v>
      </c>
      <c r="H11" s="19" t="s">
        <v>207</v>
      </c>
      <c r="I11" s="19" t="s">
        <v>206</v>
      </c>
      <c r="J11" s="19" t="s">
        <v>205</v>
      </c>
      <c r="K11" s="19" t="s">
        <v>71</v>
      </c>
      <c r="L11" s="19" t="s">
        <v>85</v>
      </c>
      <c r="M11" s="19" t="s">
        <v>168</v>
      </c>
      <c r="N11" s="19" t="s">
        <v>170</v>
      </c>
      <c r="O11" s="19" t="s">
        <v>169</v>
      </c>
      <c r="P11" s="19" t="s">
        <v>72</v>
      </c>
      <c r="Q11" s="19" t="s">
        <v>171</v>
      </c>
      <c r="R11" s="19" t="s">
        <v>73</v>
      </c>
      <c r="S11" s="19" t="s">
        <v>74</v>
      </c>
      <c r="T11" s="19" t="s">
        <v>75</v>
      </c>
      <c r="U11" s="19" t="s">
        <v>76</v>
      </c>
      <c r="V11" s="19" t="s">
        <v>77</v>
      </c>
      <c r="W11" s="19" t="s">
        <v>72</v>
      </c>
      <c r="X11" s="19" t="s">
        <v>73</v>
      </c>
      <c r="Y11" s="19" t="s">
        <v>78</v>
      </c>
      <c r="Z11" s="19" t="s">
        <v>79</v>
      </c>
      <c r="AA11" s="105" t="s">
        <v>211</v>
      </c>
      <c r="AB11" s="105" t="s">
        <v>212</v>
      </c>
      <c r="AC11" s="19" t="s">
        <v>204</v>
      </c>
      <c r="AD11" s="18"/>
      <c r="AE11" s="109" t="s">
        <v>96</v>
      </c>
      <c r="AF11" s="114">
        <v>11</v>
      </c>
      <c r="AG11" s="43">
        <v>11</v>
      </c>
      <c r="AH11" s="115">
        <v>11</v>
      </c>
      <c r="AI11" s="114">
        <v>11</v>
      </c>
      <c r="AJ11" s="43">
        <v>11</v>
      </c>
      <c r="AK11" s="115">
        <v>11</v>
      </c>
      <c r="AL11" s="114">
        <v>11</v>
      </c>
      <c r="AM11" s="43">
        <v>11</v>
      </c>
      <c r="AN11" s="115">
        <v>11</v>
      </c>
      <c r="BQ11" s="48">
        <v>10</v>
      </c>
      <c r="BR11" s="49" t="s">
        <v>113</v>
      </c>
      <c r="BS11" s="50">
        <v>17.100000000000001</v>
      </c>
      <c r="BT11" s="51">
        <v>1.65</v>
      </c>
      <c r="BU11" s="50">
        <f t="shared" ref="BU11:BU28" si="0">BS11-2*BT11</f>
        <v>13.8</v>
      </c>
      <c r="BV11" s="107">
        <v>10</v>
      </c>
    </row>
    <row r="12" spans="1:74" s="20" customFormat="1">
      <c r="B12" s="100" t="s">
        <v>209</v>
      </c>
      <c r="AE12" s="109" t="s">
        <v>97</v>
      </c>
      <c r="AF12" s="116">
        <f>M13</f>
        <v>298.27959987423736</v>
      </c>
      <c r="AG12" s="108">
        <f>N13</f>
        <v>269.87201893383377</v>
      </c>
      <c r="AH12" s="133">
        <f>O13</f>
        <v>568.15161880807113</v>
      </c>
      <c r="AI12" s="116">
        <f>M14</f>
        <v>508.64718871071955</v>
      </c>
      <c r="AJ12" s="108">
        <f t="shared" ref="AJ12:AK12" si="1">N14</f>
        <v>460.20459930969844</v>
      </c>
      <c r="AK12" s="117">
        <f t="shared" si="1"/>
        <v>968.85178802041798</v>
      </c>
      <c r="AL12" s="116">
        <f>M15</f>
        <v>1029.9839450843667</v>
      </c>
      <c r="AM12" s="108">
        <f t="shared" ref="AM12:AN12" si="2">N15</f>
        <v>931.89023602871225</v>
      </c>
      <c r="AN12" s="117">
        <f t="shared" si="2"/>
        <v>1961.874181113079</v>
      </c>
      <c r="BQ12" s="52">
        <v>15</v>
      </c>
      <c r="BR12" s="53" t="s">
        <v>114</v>
      </c>
      <c r="BS12" s="54">
        <v>21.3</v>
      </c>
      <c r="BT12" s="55">
        <v>1.65</v>
      </c>
      <c r="BU12" s="54">
        <f t="shared" si="0"/>
        <v>18</v>
      </c>
      <c r="BV12" s="107">
        <v>5</v>
      </c>
    </row>
    <row r="13" spans="1:74" s="20" customFormat="1">
      <c r="B13" s="20" t="str">
        <f>"Refrigerator "&amp;D13&amp;"kW@4,5K"</f>
        <v>Refrigerator 5kW@4,5K</v>
      </c>
      <c r="D13" s="21">
        <v>5</v>
      </c>
      <c r="E13" s="22">
        <f>15.5*(D13)^0.23/100</f>
        <v>0.2244371778859125</v>
      </c>
      <c r="F13" s="25">
        <f>(300-4.5)/4.5/E13*D13</f>
        <v>1462.9186502257398</v>
      </c>
      <c r="G13" s="23">
        <v>298</v>
      </c>
      <c r="H13" s="23">
        <v>1.05</v>
      </c>
      <c r="I13" s="23">
        <v>5</v>
      </c>
      <c r="J13" s="23">
        <v>20</v>
      </c>
      <c r="K13" s="28">
        <f>M13/O13</f>
        <v>0.52500000000000002</v>
      </c>
      <c r="L13" s="29">
        <v>2.5</v>
      </c>
      <c r="M13" s="24">
        <f>P13/3.6*273.15/G13*H13*4/$B$8*$B$9</f>
        <v>298.27959987423736</v>
      </c>
      <c r="N13" s="24">
        <f>O13-M13</f>
        <v>269.87201893383377</v>
      </c>
      <c r="O13" s="25">
        <f>R13/3.6*$B$9*4/$B$8*I13*273.15/G13</f>
        <v>568.15161880807113</v>
      </c>
      <c r="P13" s="25">
        <f>R13*L13</f>
        <v>6331.130649882597</v>
      </c>
      <c r="Q13" s="81">
        <f>N13*3.6/(273.15/G13*I13*4/$B$8*$B$9)</f>
        <v>1202.9148234776933</v>
      </c>
      <c r="R13" s="25">
        <f>F13*1000/((L13/3600*H13*10^5*LN(I13/H13)/Y13+1/3600*I13*10^5*LN(J13/I13)/Z13))</f>
        <v>2532.4522599530387</v>
      </c>
      <c r="S13" s="26">
        <v>0.85</v>
      </c>
      <c r="T13" s="26">
        <v>0.75</v>
      </c>
      <c r="U13" s="23">
        <v>2</v>
      </c>
      <c r="V13" s="23">
        <v>2</v>
      </c>
      <c r="W13" s="25">
        <f>P13/U13/S13</f>
        <v>3724.1944999309394</v>
      </c>
      <c r="X13" s="25">
        <f>R13/V13/T13</f>
        <v>1688.3015066353591</v>
      </c>
      <c r="Y13" s="28">
        <v>0.5</v>
      </c>
      <c r="Z13" s="28">
        <v>0.55000000000000004</v>
      </c>
      <c r="AA13" s="25">
        <f>M13/4*8.314*G13*LN(I13/H13)/1000/Y13/U13</f>
        <v>288.33325505890969</v>
      </c>
      <c r="AB13" s="25">
        <f>O13/4*8.314*G13*LN(J13/I13)/1000/Z13/V13</f>
        <v>443.49968213473505</v>
      </c>
      <c r="AC13" s="104">
        <f>AA13*U13+AB13*V13</f>
        <v>1463.6658743872895</v>
      </c>
      <c r="AD13" s="27"/>
      <c r="AE13" s="109" t="s">
        <v>98</v>
      </c>
      <c r="AF13" s="114">
        <f>H13</f>
        <v>1.05</v>
      </c>
      <c r="AG13" s="43">
        <v>5</v>
      </c>
      <c r="AH13" s="115">
        <f t="shared" ref="AH13" si="3">J13</f>
        <v>20</v>
      </c>
      <c r="AI13" s="114">
        <f>H14</f>
        <v>1.05</v>
      </c>
      <c r="AJ13" s="43">
        <f t="shared" ref="AJ13:AK13" si="4">I14</f>
        <v>5</v>
      </c>
      <c r="AK13" s="115">
        <f t="shared" si="4"/>
        <v>20</v>
      </c>
      <c r="AL13" s="114">
        <f>H15</f>
        <v>1.05</v>
      </c>
      <c r="AM13" s="43">
        <f t="shared" ref="AM13:AN13" si="5">I15</f>
        <v>5</v>
      </c>
      <c r="AN13" s="115">
        <f t="shared" si="5"/>
        <v>20</v>
      </c>
      <c r="BQ13" s="48">
        <v>20</v>
      </c>
      <c r="BR13" s="49" t="s">
        <v>115</v>
      </c>
      <c r="BS13" s="50">
        <v>26.7</v>
      </c>
      <c r="BT13" s="51">
        <v>1.65</v>
      </c>
      <c r="BU13" s="50">
        <f t="shared" si="0"/>
        <v>23.4</v>
      </c>
      <c r="BV13" s="107">
        <v>5</v>
      </c>
    </row>
    <row r="14" spans="1:74" s="20" customFormat="1">
      <c r="B14" s="20" t="str">
        <f>"Refrigerator "&amp;D14&amp;"kW@4,5K"</f>
        <v>Refrigerator 10kW@4,5K</v>
      </c>
      <c r="D14" s="21">
        <v>10</v>
      </c>
      <c r="E14" s="22">
        <f>15.5*(D14)^0.23/100</f>
        <v>0.2632277661315704</v>
      </c>
      <c r="F14" s="25">
        <f>(300-4.5)/4.5/E14*D14</f>
        <v>2494.6709700010974</v>
      </c>
      <c r="G14" s="23">
        <v>298</v>
      </c>
      <c r="H14" s="23">
        <v>1.05</v>
      </c>
      <c r="I14" s="23">
        <v>5</v>
      </c>
      <c r="J14" s="23">
        <v>20</v>
      </c>
      <c r="K14" s="28">
        <f>M14/O14</f>
        <v>0.52500000000000013</v>
      </c>
      <c r="L14" s="29">
        <v>2.5</v>
      </c>
      <c r="M14" s="24">
        <f>P14/3.6*273.15/G14*H14*4/$B$8*$B$9</f>
        <v>508.64718871071955</v>
      </c>
      <c r="N14" s="24">
        <f>O14-M14</f>
        <v>460.20459930969844</v>
      </c>
      <c r="O14" s="25">
        <f>R14/3.6*$B$9*4/$B$8*I14*273.15/G14</f>
        <v>968.85178802041798</v>
      </c>
      <c r="P14" s="25">
        <f>R14*L14</f>
        <v>10796.28579286288</v>
      </c>
      <c r="Q14" s="81">
        <f>N14*3.6/(273.15/G14*I14*4/$B$8*$B$9)</f>
        <v>2051.2943006439468</v>
      </c>
      <c r="R14" s="25">
        <f>F14*1000/((L14/3600*H14*10^5*LN(I14/H14)/Y14+1/3600*I14*10^5*LN(J14/I14)/Z14))</f>
        <v>4318.5143171451518</v>
      </c>
      <c r="S14" s="26">
        <v>0.85</v>
      </c>
      <c r="T14" s="26">
        <v>0.75</v>
      </c>
      <c r="U14" s="23">
        <v>2</v>
      </c>
      <c r="V14" s="23">
        <v>2</v>
      </c>
      <c r="W14" s="25">
        <f>P14/U14/S14</f>
        <v>6350.7563487428706</v>
      </c>
      <c r="X14" s="25">
        <f>R14/V14/T14</f>
        <v>2879.0095447634344</v>
      </c>
      <c r="Y14" s="28">
        <v>0.5</v>
      </c>
      <c r="Z14" s="28">
        <v>0.55000000000000004</v>
      </c>
      <c r="AA14" s="25">
        <f t="shared" ref="AA14:AA15" si="6">M14/4*8.314*G14*LN(I14/H14)/1000/Y14/U14</f>
        <v>491.68598744051218</v>
      </c>
      <c r="AB14" s="25">
        <f t="shared" ref="AB14:AB15" si="7">O14/4*8.314*G14*LN(J14/I14)/1000/Z14/V14</f>
        <v>756.28660695214569</v>
      </c>
      <c r="AC14" s="104">
        <f>AA14*U14+AB14*V14</f>
        <v>2495.9451887853156</v>
      </c>
      <c r="AD14" s="27"/>
      <c r="AE14" s="109" t="s">
        <v>99</v>
      </c>
      <c r="AF14" s="114">
        <v>298</v>
      </c>
      <c r="AG14" s="43">
        <v>298</v>
      </c>
      <c r="AH14" s="115">
        <v>310</v>
      </c>
      <c r="AI14" s="114">
        <v>298</v>
      </c>
      <c r="AJ14" s="43">
        <v>298</v>
      </c>
      <c r="AK14" s="115">
        <v>310</v>
      </c>
      <c r="AL14" s="114">
        <v>298</v>
      </c>
      <c r="AM14" s="43">
        <v>298</v>
      </c>
      <c r="AN14" s="115">
        <v>310</v>
      </c>
      <c r="BQ14" s="48">
        <v>25</v>
      </c>
      <c r="BR14" s="49" t="s">
        <v>116</v>
      </c>
      <c r="BS14" s="50">
        <v>33.4</v>
      </c>
      <c r="BT14" s="51">
        <v>1.65</v>
      </c>
      <c r="BU14" s="50">
        <f t="shared" si="0"/>
        <v>30.099999999999998</v>
      </c>
      <c r="BV14" s="107">
        <v>5</v>
      </c>
    </row>
    <row r="15" spans="1:74" s="20" customFormat="1">
      <c r="B15" s="20" t="str">
        <f>"Refrigerator "&amp;D15&amp;"kW@4,5K"</f>
        <v>Refrigerator 25kW@4,5K</v>
      </c>
      <c r="D15" s="21">
        <v>25</v>
      </c>
      <c r="E15" s="22">
        <f>15.5*(D15)^0.23/100</f>
        <v>0.3249809472089854</v>
      </c>
      <c r="F15" s="25">
        <f>(300-4.5)/4.5/E15*D15</f>
        <v>5051.5781948624845</v>
      </c>
      <c r="G15" s="23">
        <v>298</v>
      </c>
      <c r="H15" s="23">
        <v>1.05</v>
      </c>
      <c r="I15" s="23">
        <v>5</v>
      </c>
      <c r="J15" s="23">
        <v>20</v>
      </c>
      <c r="K15" s="28">
        <f>M15/O15</f>
        <v>0.52500000000000013</v>
      </c>
      <c r="L15" s="29">
        <v>2.5</v>
      </c>
      <c r="M15" s="24">
        <f>P15/3.6*273.15/G15*H15*4/$B$8*$B$9</f>
        <v>1029.9839450843667</v>
      </c>
      <c r="N15" s="24">
        <f>O15-M15</f>
        <v>931.89023602871225</v>
      </c>
      <c r="O15" s="25">
        <f>R15/3.6*$B$9*4/$B$8*I15*273.15/G15</f>
        <v>1961.874181113079</v>
      </c>
      <c r="P15" s="25">
        <f>R15*L15</f>
        <v>21861.913876644725</v>
      </c>
      <c r="Q15" s="81">
        <f>N15*3.6/(273.15/G15*I15*4/$B$8*$B$9)</f>
        <v>4153.7636365624967</v>
      </c>
      <c r="R15" s="25">
        <f>F15*1000/((L15/3600*H15*10^5*LN(I15/H15)/Y15+1/3600*I15*10^5*LN(J15/I15)/Z15))</f>
        <v>8744.7655506578903</v>
      </c>
      <c r="S15" s="26">
        <v>0.85</v>
      </c>
      <c r="T15" s="26">
        <v>0.75</v>
      </c>
      <c r="U15" s="23">
        <v>3</v>
      </c>
      <c r="V15" s="23">
        <v>2</v>
      </c>
      <c r="W15" s="25">
        <f>P15/U15/S15</f>
        <v>8573.2995594685199</v>
      </c>
      <c r="X15" s="25">
        <f>R15/V15/T15</f>
        <v>5829.8437004385933</v>
      </c>
      <c r="Y15" s="28">
        <v>0.5</v>
      </c>
      <c r="Z15" s="28">
        <v>0.55000000000000004</v>
      </c>
      <c r="AA15" s="25">
        <f t="shared" si="6"/>
        <v>663.75893327336019</v>
      </c>
      <c r="AB15" s="25">
        <f t="shared" si="7"/>
        <v>1531.4408107071183</v>
      </c>
      <c r="AC15" s="104">
        <f>AA15*U15+AB15*V15</f>
        <v>5054.1584212343168</v>
      </c>
      <c r="AD15" s="27"/>
      <c r="AE15" s="109" t="s">
        <v>100</v>
      </c>
      <c r="AF15" s="118">
        <f>[6]!rho_(AF11,AF13,AF14)</f>
        <v>0.16954296764632532</v>
      </c>
      <c r="AG15" s="56">
        <f>[6]!rho_(AG11,AG13,AG14)</f>
        <v>0.80588287462544561</v>
      </c>
      <c r="AH15" s="119">
        <f>[6]!rho_(AH11,AH13,AH14)</f>
        <v>3.0787443056223287</v>
      </c>
      <c r="AI15" s="118">
        <f>[6]!rho_(AI11,AI13,AI14)</f>
        <v>0.16954296764632532</v>
      </c>
      <c r="AJ15" s="56">
        <f>[6]!rho_(AJ11,AJ13,AJ14)</f>
        <v>0.80588287462544561</v>
      </c>
      <c r="AK15" s="119">
        <f>[6]!rho_(AK11,AK13,AK14)</f>
        <v>3.0787443056223287</v>
      </c>
      <c r="AL15" s="118">
        <f>[6]!rho_(AL11,AL13,AL14)</f>
        <v>0.16954296764632532</v>
      </c>
      <c r="AM15" s="56">
        <f>[6]!rho_(AM11,AM13,AM14)</f>
        <v>0.80588287462544561</v>
      </c>
      <c r="AN15" s="119">
        <f>[6]!rho_(AN11,AN13,AN14)</f>
        <v>3.0787443056223287</v>
      </c>
      <c r="BQ15" s="48">
        <v>32</v>
      </c>
      <c r="BR15" s="49" t="s">
        <v>117</v>
      </c>
      <c r="BS15" s="50">
        <v>42.2</v>
      </c>
      <c r="BT15" s="51">
        <v>1.65</v>
      </c>
      <c r="BU15" s="50">
        <f t="shared" si="0"/>
        <v>38.900000000000006</v>
      </c>
      <c r="BV15" s="107">
        <v>10</v>
      </c>
    </row>
    <row r="16" spans="1:74" s="20" customFormat="1">
      <c r="B16" s="100" t="s">
        <v>208</v>
      </c>
      <c r="AC16" s="100"/>
      <c r="AE16" s="110" t="s">
        <v>152</v>
      </c>
      <c r="AF16" s="120">
        <f t="shared" ref="AF16:AN16" si="8">AF12/1000*3600/AF15</f>
        <v>6333.5364153072151</v>
      </c>
      <c r="AG16" s="76">
        <f t="shared" si="8"/>
        <v>1205.5588954081559</v>
      </c>
      <c r="AH16" s="121">
        <f t="shared" si="8"/>
        <v>664.34416913866301</v>
      </c>
      <c r="AI16" s="120">
        <f t="shared" si="8"/>
        <v>10800.388271947761</v>
      </c>
      <c r="AJ16" s="76">
        <f t="shared" si="8"/>
        <v>2055.8031566124596</v>
      </c>
      <c r="AK16" s="121">
        <f t="shared" si="8"/>
        <v>1132.8860375004338</v>
      </c>
      <c r="AL16" s="120">
        <f t="shared" si="8"/>
        <v>21870.221182152854</v>
      </c>
      <c r="AM16" s="76">
        <f t="shared" si="8"/>
        <v>4162.8938339986371</v>
      </c>
      <c r="AN16" s="121">
        <f t="shared" si="8"/>
        <v>2294.0349541562337</v>
      </c>
      <c r="BQ16" s="52">
        <v>40</v>
      </c>
      <c r="BR16" s="53" t="s">
        <v>118</v>
      </c>
      <c r="BS16" s="54">
        <v>48.3</v>
      </c>
      <c r="BT16" s="55">
        <v>1.65</v>
      </c>
      <c r="BU16" s="54">
        <f t="shared" si="0"/>
        <v>45</v>
      </c>
      <c r="BV16" s="107">
        <v>10</v>
      </c>
    </row>
    <row r="17" spans="1:74" s="20" customFormat="1">
      <c r="B17" s="20" t="s">
        <v>210</v>
      </c>
      <c r="C17" s="20">
        <f>35*1.05</f>
        <v>36.75</v>
      </c>
      <c r="D17" s="102">
        <f>((300-15)/15)/((300-4.5)/4.5)*C17</f>
        <v>10.633248730964466</v>
      </c>
      <c r="E17" s="101">
        <f>15.5*(D17)^0.23/100</f>
        <v>0.26697148176132507</v>
      </c>
      <c r="F17" s="25">
        <f>(300-4.5)/4.5/E17*D17</f>
        <v>2615.4478950086582</v>
      </c>
      <c r="G17" s="23">
        <v>298</v>
      </c>
      <c r="H17" s="103"/>
      <c r="I17" s="23">
        <v>3.4</v>
      </c>
      <c r="J17" s="23">
        <v>20</v>
      </c>
      <c r="K17" s="103"/>
      <c r="L17" s="103"/>
      <c r="M17" s="103"/>
      <c r="N17" s="103"/>
      <c r="O17" s="25">
        <f>R17/3.6*$B$9*4/$B$8*I17*273.15/G17</f>
        <v>1192.1157191915659</v>
      </c>
      <c r="P17" s="103"/>
      <c r="Q17" s="103"/>
      <c r="R17" s="25">
        <f>F17*1000/(1/3600*I17*10^5*LN(J17/I17)/Z17)</f>
        <v>7814.2359499185422</v>
      </c>
      <c r="S17" s="103"/>
      <c r="T17" s="26">
        <v>0.75</v>
      </c>
      <c r="U17" s="103"/>
      <c r="V17" s="23">
        <v>2</v>
      </c>
      <c r="W17" s="103"/>
      <c r="X17" s="25">
        <f>R17/V17/T17</f>
        <v>5209.4906332790279</v>
      </c>
      <c r="Y17" s="103"/>
      <c r="Z17" s="28">
        <v>0.5</v>
      </c>
      <c r="AA17" s="103"/>
      <c r="AB17" s="25">
        <f t="shared" ref="AB17" si="9">O17/4*8.314*G17*LN(J17/I17)/1000/Z17/V17</f>
        <v>1308.3919018913082</v>
      </c>
      <c r="AC17" s="104">
        <f>AA17*U17+AB17*V17</f>
        <v>2616.7838037826164</v>
      </c>
      <c r="AD17" s="27"/>
      <c r="AE17" s="109" t="s">
        <v>101</v>
      </c>
      <c r="AF17" s="114">
        <v>30</v>
      </c>
      <c r="AG17" s="43">
        <v>10</v>
      </c>
      <c r="AH17" s="115">
        <v>10</v>
      </c>
      <c r="AI17" s="114">
        <v>30</v>
      </c>
      <c r="AJ17" s="43">
        <v>10</v>
      </c>
      <c r="AK17" s="115">
        <v>10</v>
      </c>
      <c r="AL17" s="114">
        <v>30</v>
      </c>
      <c r="AM17" s="43">
        <v>10</v>
      </c>
      <c r="AN17" s="115">
        <v>10</v>
      </c>
      <c r="BQ17" s="52">
        <v>50</v>
      </c>
      <c r="BR17" s="53" t="s">
        <v>119</v>
      </c>
      <c r="BS17" s="54">
        <v>60.3</v>
      </c>
      <c r="BT17" s="55">
        <v>2.77</v>
      </c>
      <c r="BU17" s="54">
        <f t="shared" si="0"/>
        <v>54.76</v>
      </c>
      <c r="BV17" s="107">
        <v>10</v>
      </c>
    </row>
    <row r="18" spans="1:74">
      <c r="F18" s="36"/>
      <c r="AE18" s="109" t="s">
        <v>102</v>
      </c>
      <c r="AF18" s="114">
        <v>10</v>
      </c>
      <c r="AG18" s="43">
        <v>10</v>
      </c>
      <c r="AH18" s="115">
        <v>10</v>
      </c>
      <c r="AI18" s="114">
        <v>10</v>
      </c>
      <c r="AJ18" s="43">
        <v>10</v>
      </c>
      <c r="AK18" s="115">
        <v>10</v>
      </c>
      <c r="AL18" s="114">
        <v>10</v>
      </c>
      <c r="AM18" s="43">
        <v>10</v>
      </c>
      <c r="AN18" s="115">
        <v>10</v>
      </c>
      <c r="BQ18" s="48">
        <v>65</v>
      </c>
      <c r="BR18" s="49" t="s">
        <v>120</v>
      </c>
      <c r="BS18" s="50">
        <v>73</v>
      </c>
      <c r="BT18" s="51">
        <v>3.05</v>
      </c>
      <c r="BU18" s="50">
        <f t="shared" si="0"/>
        <v>66.900000000000006</v>
      </c>
      <c r="BV18" s="106">
        <v>10</v>
      </c>
    </row>
    <row r="19" spans="1:74" s="20" customFormat="1">
      <c r="A19" s="20" t="s">
        <v>65</v>
      </c>
      <c r="D19" s="21">
        <f>D13*1.05</f>
        <v>5.25</v>
      </c>
      <c r="E19" s="22">
        <f>15.5*(D19)^0.23/100</f>
        <v>0.22696993744269175</v>
      </c>
      <c r="F19" s="25">
        <f>(300-4.5)/4.5/E19*D19</f>
        <v>1518.9236243546432</v>
      </c>
      <c r="G19" s="23">
        <v>312</v>
      </c>
      <c r="H19" s="23">
        <v>1.05</v>
      </c>
      <c r="I19" s="23">
        <v>5</v>
      </c>
      <c r="J19" s="23">
        <v>22</v>
      </c>
      <c r="K19" s="28">
        <f>M19/O19</f>
        <v>0.52499999999999991</v>
      </c>
      <c r="L19" s="29">
        <v>2.5</v>
      </c>
      <c r="M19" s="24">
        <f>P19/3.6*273.15/G19*H19*4/$B$8*$B$9</f>
        <v>283.9704553144735</v>
      </c>
      <c r="N19" s="24">
        <f>O19-M19</f>
        <v>256.92565004642847</v>
      </c>
      <c r="O19" s="25">
        <f>R19/3.6*$B$9*4/$B$8*I19*273.15/G19</f>
        <v>540.89610536090197</v>
      </c>
      <c r="P19" s="25">
        <f>R19*L19</f>
        <v>6310.5790546778189</v>
      </c>
      <c r="Q19" s="81">
        <f>N19*3.6/(273.15/G19*I19*4/$B$8*$B$9)</f>
        <v>1199.0100203887862</v>
      </c>
      <c r="R19" s="25">
        <f>F19*1000/((L19/3600*H19*10^5*LN(I19/H19)/Y19+1/3600*I19*10^5*LN(J19/I19)/Z19))</f>
        <v>2524.2316218711276</v>
      </c>
      <c r="S19" s="26">
        <v>0.8</v>
      </c>
      <c r="T19" s="26">
        <v>0.75</v>
      </c>
      <c r="U19" s="23">
        <v>2</v>
      </c>
      <c r="V19" s="23">
        <v>2</v>
      </c>
      <c r="W19" s="25">
        <f>P19/U19/S19</f>
        <v>3944.1119091736368</v>
      </c>
      <c r="X19" s="25">
        <f>R19/V19/T19</f>
        <v>1682.8210812474183</v>
      </c>
      <c r="Y19" s="28">
        <v>0.5</v>
      </c>
      <c r="Z19" s="28">
        <v>0.55000000000000004</v>
      </c>
      <c r="AA19" s="25">
        <f>M19/4*8.314*G19*LN(I19/H19)/1000/Y19</f>
        <v>574.79458275768616</v>
      </c>
      <c r="AB19" s="25">
        <f>O19/4*8.314*G19*LN(J19/I19)/1000/Z19</f>
        <v>944.9048717714445</v>
      </c>
      <c r="AC19" s="25">
        <f>AB19+AA19</f>
        <v>1519.6994545291307</v>
      </c>
      <c r="AD19" s="27"/>
      <c r="AE19" s="109" t="s">
        <v>103</v>
      </c>
      <c r="AF19" s="122">
        <v>250</v>
      </c>
      <c r="AG19" s="62">
        <v>100</v>
      </c>
      <c r="AH19" s="123">
        <v>80</v>
      </c>
      <c r="AI19" s="122">
        <v>300</v>
      </c>
      <c r="AJ19" s="62">
        <v>150</v>
      </c>
      <c r="AK19" s="123">
        <v>100</v>
      </c>
      <c r="AL19" s="122">
        <v>400</v>
      </c>
      <c r="AM19" s="62">
        <v>200</v>
      </c>
      <c r="AN19" s="123">
        <v>150</v>
      </c>
      <c r="BQ19" s="52">
        <v>80</v>
      </c>
      <c r="BR19" s="53" t="s">
        <v>121</v>
      </c>
      <c r="BS19" s="54">
        <v>88.9</v>
      </c>
      <c r="BT19" s="55">
        <v>3.05</v>
      </c>
      <c r="BU19" s="54">
        <f t="shared" si="0"/>
        <v>82.800000000000011</v>
      </c>
      <c r="BV19" s="107">
        <v>10</v>
      </c>
    </row>
    <row r="20" spans="1:74">
      <c r="F20" s="25"/>
      <c r="AF20" s="124">
        <f>AF19/25</f>
        <v>10</v>
      </c>
      <c r="AG20" s="125">
        <f t="shared" ref="AG20:AH20" si="10">AG19/25</f>
        <v>4</v>
      </c>
      <c r="AH20" s="126">
        <f t="shared" si="10"/>
        <v>3.2</v>
      </c>
      <c r="AI20" s="124">
        <f>AI19/25</f>
        <v>12</v>
      </c>
      <c r="AJ20" s="125">
        <f t="shared" ref="AJ20" si="11">AJ19/25</f>
        <v>6</v>
      </c>
      <c r="AK20" s="126">
        <f t="shared" ref="AK20" si="12">AK19/25</f>
        <v>4</v>
      </c>
      <c r="AL20" s="124">
        <f>AL19/25</f>
        <v>16</v>
      </c>
      <c r="AM20" s="125">
        <f t="shared" ref="AM20" si="13">AM19/25</f>
        <v>8</v>
      </c>
      <c r="AN20" s="126">
        <f t="shared" ref="AN20" si="14">AN19/25</f>
        <v>6</v>
      </c>
      <c r="BQ20" s="52">
        <v>100</v>
      </c>
      <c r="BR20" s="53" t="s">
        <v>122</v>
      </c>
      <c r="BS20" s="54">
        <v>114.3</v>
      </c>
      <c r="BT20" s="55">
        <v>3.05</v>
      </c>
      <c r="BU20" s="54">
        <f t="shared" si="0"/>
        <v>108.2</v>
      </c>
      <c r="BV20" s="107">
        <v>10</v>
      </c>
    </row>
    <row r="21" spans="1:74" s="20" customFormat="1">
      <c r="A21" s="20" t="s">
        <v>86</v>
      </c>
      <c r="B21" s="20" t="s">
        <v>88</v>
      </c>
      <c r="D21" s="21">
        <v>25</v>
      </c>
      <c r="E21" s="22">
        <v>0.19</v>
      </c>
      <c r="F21" s="25">
        <f>(300-4.5)/4.5/E21*D21</f>
        <v>8640.3508771929828</v>
      </c>
      <c r="G21" s="23">
        <v>308</v>
      </c>
      <c r="H21" s="23">
        <v>1.05</v>
      </c>
      <c r="I21" s="23">
        <v>4.2750000000000004</v>
      </c>
      <c r="J21" s="23">
        <v>21.8</v>
      </c>
      <c r="K21" s="28">
        <f>M21/O21</f>
        <v>0.87147140936821432</v>
      </c>
      <c r="L21" s="31">
        <f>P21/R21</f>
        <v>3.5481335952848725</v>
      </c>
      <c r="M21" s="24">
        <f>P21/3.6*273.15/G21*H21*4/$B$8*$B$9</f>
        <v>1646.4766093525589</v>
      </c>
      <c r="N21" s="24">
        <f>O21-M21</f>
        <v>242.82990334898318</v>
      </c>
      <c r="O21" s="25">
        <f>R21/3.6*$B$9*4/$B$8*I21*273.15/G21</f>
        <v>1889.306512701542</v>
      </c>
      <c r="P21" s="30">
        <v>36120</v>
      </c>
      <c r="Q21" s="81">
        <f>N21*3.6/(273.15/G21*I21*4/$B$8*$B$9)</f>
        <v>1308.421052631579</v>
      </c>
      <c r="R21" s="30">
        <v>10180</v>
      </c>
      <c r="S21" s="26">
        <v>0.8</v>
      </c>
      <c r="T21" s="26">
        <v>0.75</v>
      </c>
      <c r="U21" s="23">
        <v>5</v>
      </c>
      <c r="V21" s="23">
        <v>6</v>
      </c>
      <c r="W21" s="25">
        <f>P21/U21/S21</f>
        <v>9030</v>
      </c>
      <c r="X21" s="25">
        <f>R21/V21/T21</f>
        <v>2262.2222222222222</v>
      </c>
      <c r="Y21" s="28">
        <v>0.5</v>
      </c>
      <c r="Z21" s="28">
        <v>0.55000000000000004</v>
      </c>
      <c r="AA21" s="25">
        <f t="shared" ref="AA21:AA23" si="15">M21/4*8.314*G21*LN(I21/H21)/1000/Y21</f>
        <v>2959.7262140287876</v>
      </c>
      <c r="AB21" s="25">
        <f t="shared" ref="AB21:AB23" si="16">O21/4*8.314*G21*LN(J21/I21)/1000/Z21</f>
        <v>3582.5735648302712</v>
      </c>
      <c r="AC21" s="25">
        <f t="shared" ref="AC21:AC23" si="17">AB21+AA21</f>
        <v>6542.2997788590583</v>
      </c>
      <c r="AD21" s="27"/>
      <c r="AE21" s="109" t="s">
        <v>103</v>
      </c>
      <c r="AF21" s="127">
        <f t="shared" ref="AF21:AN21" si="18">VLOOKUP(AF19,$BQ$9:$BU$28,5,FALSE)</f>
        <v>254.46</v>
      </c>
      <c r="AG21" s="73">
        <f t="shared" si="18"/>
        <v>108.2</v>
      </c>
      <c r="AH21" s="128">
        <f t="shared" si="18"/>
        <v>82.800000000000011</v>
      </c>
      <c r="AI21" s="127">
        <f t="shared" si="18"/>
        <v>304.83999999999997</v>
      </c>
      <c r="AJ21" s="73">
        <f t="shared" si="18"/>
        <v>161.5</v>
      </c>
      <c r="AK21" s="128">
        <f t="shared" si="18"/>
        <v>108.2</v>
      </c>
      <c r="AL21" s="127">
        <f t="shared" si="18"/>
        <v>387.34</v>
      </c>
      <c r="AM21" s="73">
        <f t="shared" si="18"/>
        <v>211.57999999999998</v>
      </c>
      <c r="AN21" s="128">
        <f t="shared" si="18"/>
        <v>161.5</v>
      </c>
      <c r="BQ21" s="48">
        <v>125</v>
      </c>
      <c r="BR21" s="49" t="s">
        <v>123</v>
      </c>
      <c r="BS21" s="50">
        <v>141.30000000000001</v>
      </c>
      <c r="BT21" s="51">
        <v>3.4</v>
      </c>
      <c r="BU21" s="50">
        <f t="shared" si="0"/>
        <v>134.5</v>
      </c>
      <c r="BV21" s="107">
        <v>10</v>
      </c>
    </row>
    <row r="22" spans="1:74" s="20" customFormat="1">
      <c r="A22" s="20" t="s">
        <v>87</v>
      </c>
      <c r="B22" s="20" t="s">
        <v>89</v>
      </c>
      <c r="D22" s="21">
        <v>11</v>
      </c>
      <c r="E22" s="22">
        <f>15.5*(D22)^0.23/100</f>
        <v>0.26906178296037664</v>
      </c>
      <c r="F22" s="25">
        <f>(300-4.5)/4.5/E22*D22</f>
        <v>2684.637429313801</v>
      </c>
      <c r="G22" s="23">
        <v>308</v>
      </c>
      <c r="H22" s="23">
        <v>1.05</v>
      </c>
      <c r="I22" s="23">
        <v>5</v>
      </c>
      <c r="J22" s="23">
        <v>21.8</v>
      </c>
      <c r="K22" s="28">
        <f>M22/O22</f>
        <v>0.5835123248440216</v>
      </c>
      <c r="L22" s="31">
        <f>P22/R22</f>
        <v>2.7786301183048643</v>
      </c>
      <c r="M22" s="32">
        <v>570.5</v>
      </c>
      <c r="N22" s="24">
        <f>O22-M22</f>
        <v>407.20000000000005</v>
      </c>
      <c r="O22" s="30">
        <v>977.7</v>
      </c>
      <c r="P22" s="33">
        <f>M22*3.6/(273.15/G22*H22*4/$B$8*$B$9)</f>
        <v>12515.489064920908</v>
      </c>
      <c r="Q22" s="81">
        <f>N22*3.6/(273.15/G22*I22*4/$B$8*$B$9)</f>
        <v>1875.9412811910904</v>
      </c>
      <c r="R22" s="33">
        <f>O22*3.6/(273.15/G22*I22*4/$B$8*$B$9)</f>
        <v>4504.193984824482</v>
      </c>
      <c r="S22" s="26">
        <v>0.8</v>
      </c>
      <c r="T22" s="26">
        <v>0.75</v>
      </c>
      <c r="U22" s="23">
        <v>2</v>
      </c>
      <c r="V22" s="23">
        <v>2</v>
      </c>
      <c r="W22" s="25">
        <f>P22/U22/S22</f>
        <v>7822.1806655755672</v>
      </c>
      <c r="X22" s="25">
        <f>R22/V22/T22</f>
        <v>3002.7959898829881</v>
      </c>
      <c r="Y22" s="28">
        <v>0.5</v>
      </c>
      <c r="Z22" s="28">
        <v>0.55000000000000004</v>
      </c>
      <c r="AA22" s="25">
        <f t="shared" si="15"/>
        <v>1139.9643761291686</v>
      </c>
      <c r="AB22" s="25">
        <f t="shared" si="16"/>
        <v>1675.6786376435889</v>
      </c>
      <c r="AC22" s="25">
        <f t="shared" si="17"/>
        <v>2815.6430137727575</v>
      </c>
      <c r="AD22" s="27"/>
      <c r="AE22" s="109" t="s">
        <v>104</v>
      </c>
      <c r="AF22" s="127">
        <f>[6]!DP_mbar_iter(AF12,AF17,AF21,AF18,AF11,AF13,AF14)</f>
        <v>5.2887525638294353</v>
      </c>
      <c r="AG22" s="73">
        <f>[6]!DP_mbar_iter(AG12,AG17,AG21,AG18,AG11,AG13,AG14)</f>
        <v>25.254002980192425</v>
      </c>
      <c r="AH22" s="128">
        <f>[6]!DP_mbar_iter(AH12,AH17,AH21,AH18,AH11,AH13,AH14)</f>
        <v>93.44486388166473</v>
      </c>
      <c r="AI22" s="127">
        <f>[6]!DP_mbar_iter(AI12,AI17,AI21,AI18,AI11,AI13,AI14)</f>
        <v>6.8734157636960447</v>
      </c>
      <c r="AJ22" s="73">
        <f>[6]!DP_mbar_iter(AJ12,AJ17,AJ21,AJ18,AJ11,AJ13,AJ14)</f>
        <v>12.76504026663261</v>
      </c>
      <c r="AK22" s="128">
        <f>[6]!DP_mbar_iter(AK12,AK17,AK21,AK18,AK11,AK13,AK14)</f>
        <v>82.112856153226943</v>
      </c>
      <c r="AL22" s="127">
        <f>[6]!DP_mbar_iter(AL12,AL17,AL21,AL18,AL11,AL13,AL14)</f>
        <v>9.6791519617689392</v>
      </c>
      <c r="AM22" s="73">
        <f>[6]!DP_mbar_iter(AM12,AM17,AM21,AM18,AM11,AM13,AM14)</f>
        <v>16.363744881917164</v>
      </c>
      <c r="AN22" s="128">
        <f>[6]!DP_mbar_iter(AN12,AN17,AN21,AN18,AN11,AN13,AN14)</f>
        <v>58.787099683289767</v>
      </c>
      <c r="BQ22" s="52">
        <v>150</v>
      </c>
      <c r="BR22" s="53" t="s">
        <v>48</v>
      </c>
      <c r="BS22" s="54">
        <v>168.3</v>
      </c>
      <c r="BT22" s="55">
        <v>3.4</v>
      </c>
      <c r="BU22" s="54">
        <f t="shared" si="0"/>
        <v>161.5</v>
      </c>
      <c r="BV22" s="107">
        <v>10</v>
      </c>
    </row>
    <row r="23" spans="1:74" s="20" customFormat="1">
      <c r="A23" s="20" t="s">
        <v>91</v>
      </c>
      <c r="B23" s="20" t="s">
        <v>90</v>
      </c>
      <c r="D23" s="21">
        <v>9</v>
      </c>
      <c r="E23" s="22">
        <f>15.5*(D23)^0.23/100</f>
        <v>0.25692565675135293</v>
      </c>
      <c r="F23" s="25">
        <f>(300-4.5)/4.5/E23*D23</f>
        <v>2300.2763035532766</v>
      </c>
      <c r="G23" s="23">
        <v>308</v>
      </c>
      <c r="H23" s="23">
        <v>1.05</v>
      </c>
      <c r="I23" s="23">
        <v>5</v>
      </c>
      <c r="J23" s="23">
        <v>21.8</v>
      </c>
      <c r="K23" s="28">
        <f>M23/O23</f>
        <v>0.5835123248440216</v>
      </c>
      <c r="L23" s="31">
        <f>P23/R23</f>
        <v>2.7786301183048643</v>
      </c>
      <c r="M23" s="32">
        <v>570.5</v>
      </c>
      <c r="N23" s="24">
        <f>O23-M23</f>
        <v>407.20000000000005</v>
      </c>
      <c r="O23" s="30">
        <v>977.7</v>
      </c>
      <c r="P23" s="33">
        <f>M23*3.6/(273.15/G23*H23*4/$B$8*$B$9)</f>
        <v>12515.489064920908</v>
      </c>
      <c r="Q23" s="81">
        <f>N23*3.6/(273.15/G23*I23*4/$B$8*$B$9)</f>
        <v>1875.9412811910904</v>
      </c>
      <c r="R23" s="33">
        <f>O23*3.6/(273.15/G23*I23*4/$B$8*$B$9)</f>
        <v>4504.193984824482</v>
      </c>
      <c r="S23" s="26">
        <v>0.8</v>
      </c>
      <c r="T23" s="26">
        <v>0.75</v>
      </c>
      <c r="U23" s="23">
        <v>2</v>
      </c>
      <c r="V23" s="23">
        <v>2</v>
      </c>
      <c r="W23" s="25">
        <f>P23/U23/S23</f>
        <v>7822.1806655755672</v>
      </c>
      <c r="X23" s="25">
        <f>R23/V23/T23</f>
        <v>3002.7959898829881</v>
      </c>
      <c r="Y23" s="28">
        <v>0.5</v>
      </c>
      <c r="Z23" s="28">
        <v>0.55000000000000004</v>
      </c>
      <c r="AA23" s="25">
        <f t="shared" si="15"/>
        <v>1139.9643761291686</v>
      </c>
      <c r="AB23" s="25">
        <f t="shared" si="16"/>
        <v>1675.6786376435889</v>
      </c>
      <c r="AC23" s="25">
        <f t="shared" si="17"/>
        <v>2815.6430137727575</v>
      </c>
      <c r="AD23" s="27"/>
      <c r="AE23" s="111" t="s">
        <v>151</v>
      </c>
      <c r="AF23" s="129">
        <f t="shared" ref="AF23:AN23" si="19">AF22/AF17</f>
        <v>0.17629175212764783</v>
      </c>
      <c r="AG23" s="72">
        <f t="shared" si="19"/>
        <v>2.5254002980192425</v>
      </c>
      <c r="AH23" s="134">
        <f t="shared" si="19"/>
        <v>9.344486388166473</v>
      </c>
      <c r="AI23" s="129">
        <f t="shared" si="19"/>
        <v>0.22911385878986815</v>
      </c>
      <c r="AJ23" s="72">
        <f t="shared" si="19"/>
        <v>1.276504026663261</v>
      </c>
      <c r="AK23" s="134">
        <f t="shared" si="19"/>
        <v>8.2112856153226943</v>
      </c>
      <c r="AL23" s="129">
        <f t="shared" si="19"/>
        <v>0.32263839872563133</v>
      </c>
      <c r="AM23" s="72">
        <f t="shared" si="19"/>
        <v>1.6363744881917164</v>
      </c>
      <c r="AN23" s="134">
        <f t="shared" si="19"/>
        <v>5.8787099683289767</v>
      </c>
      <c r="BQ23" s="52">
        <v>200</v>
      </c>
      <c r="BR23" s="53" t="s">
        <v>124</v>
      </c>
      <c r="BS23" s="54">
        <v>219.1</v>
      </c>
      <c r="BT23" s="55">
        <v>3.76</v>
      </c>
      <c r="BU23" s="54">
        <f t="shared" si="0"/>
        <v>211.57999999999998</v>
      </c>
      <c r="BV23" s="107">
        <v>10</v>
      </c>
    </row>
    <row r="24" spans="1:74">
      <c r="AE24" s="109" t="s">
        <v>150</v>
      </c>
      <c r="AF24" s="127">
        <f t="shared" ref="AF24:AN24" si="20">((AF12/1000)/AF15)*(4/(PI()*(AF21/1000)^2))</f>
        <v>34.595120216169221</v>
      </c>
      <c r="AG24" s="73">
        <f t="shared" si="20"/>
        <v>36.42013306725169</v>
      </c>
      <c r="AH24" s="128">
        <f t="shared" si="20"/>
        <v>34.272049144377924</v>
      </c>
      <c r="AI24" s="127">
        <f t="shared" si="20"/>
        <v>41.105797698069914</v>
      </c>
      <c r="AJ24" s="73">
        <f t="shared" si="20"/>
        <v>27.876875346157707</v>
      </c>
      <c r="AK24" s="128">
        <f t="shared" si="20"/>
        <v>34.224674043675222</v>
      </c>
      <c r="AL24" s="127">
        <f t="shared" si="20"/>
        <v>51.555629817098165</v>
      </c>
      <c r="AM24" s="73">
        <f t="shared" si="20"/>
        <v>32.889231634761835</v>
      </c>
      <c r="AN24" s="128">
        <f t="shared" si="20"/>
        <v>31.107319906113595</v>
      </c>
      <c r="BQ24" s="52">
        <v>250</v>
      </c>
      <c r="BR24" s="53" t="s">
        <v>49</v>
      </c>
      <c r="BS24" s="54">
        <v>273</v>
      </c>
      <c r="BT24" s="55">
        <v>9.27</v>
      </c>
      <c r="BU24" s="54">
        <f t="shared" si="0"/>
        <v>254.46</v>
      </c>
      <c r="BV24" s="107">
        <v>10</v>
      </c>
    </row>
    <row r="25" spans="1:74" ht="15.75" thickBot="1">
      <c r="AE25" s="109" t="s">
        <v>129</v>
      </c>
      <c r="AF25" s="130">
        <f>AF24/[6]!Sound_speed(AF11,AF13,AF14)</f>
        <v>3.4044537844798058E-2</v>
      </c>
      <c r="AG25" s="131">
        <f>AG24/[6]!Sound_speed(AG11,AG13,AG14)</f>
        <v>3.5780598414721546E-2</v>
      </c>
      <c r="AH25" s="132">
        <f>AH24/[6]!Sound_speed(AH11,AH13,AH14)</f>
        <v>3.2815537807355043E-2</v>
      </c>
      <c r="AI25" s="130">
        <f>AI24/[6]!Sound_speed(AI11,AI13,AI14)</f>
        <v>4.045159770014279E-2</v>
      </c>
      <c r="AJ25" s="131">
        <f>AJ24/[6]!Sound_speed(AJ11,AJ13,AJ14)</f>
        <v>2.7387359622664594E-2</v>
      </c>
      <c r="AK25" s="132">
        <f>AK24/[6]!Sound_speed(AK11,AK13,AK14)</f>
        <v>3.2770176078276994E-2</v>
      </c>
      <c r="AL25" s="130">
        <f>AL24/[6]!Sound_speed(AL11,AL13,AL14)</f>
        <v>5.0735120428928311E-2</v>
      </c>
      <c r="AM25" s="131">
        <f>AM24/[6]!Sound_speed(AM11,AM13,AM14)</f>
        <v>3.2311699331772144E-2</v>
      </c>
      <c r="AN25" s="132">
        <f>AN24/[6]!Sound_speed(AN11,AN13,AN14)</f>
        <v>2.9785304875241583E-2</v>
      </c>
      <c r="BQ25" s="52">
        <v>300</v>
      </c>
      <c r="BR25" s="53" t="s">
        <v>125</v>
      </c>
      <c r="BS25" s="54">
        <v>323.89999999999998</v>
      </c>
      <c r="BT25" s="55">
        <v>9.5299999999999994</v>
      </c>
      <c r="BU25" s="54">
        <f t="shared" si="0"/>
        <v>304.83999999999997</v>
      </c>
      <c r="BV25" s="107">
        <v>10</v>
      </c>
    </row>
    <row r="26" spans="1:74">
      <c r="B26" s="16" t="s">
        <v>229</v>
      </c>
      <c r="BQ26" s="52">
        <v>350</v>
      </c>
      <c r="BR26" s="53" t="s">
        <v>126</v>
      </c>
      <c r="BS26" s="54">
        <v>355.6</v>
      </c>
      <c r="BT26" s="55">
        <v>9.5299999999999994</v>
      </c>
      <c r="BU26" s="54">
        <f t="shared" si="0"/>
        <v>336.54</v>
      </c>
      <c r="BV26" s="107">
        <v>10</v>
      </c>
    </row>
    <row r="27" spans="1:74" ht="38.25">
      <c r="D27" s="99" t="s">
        <v>66</v>
      </c>
      <c r="E27" s="2" t="s">
        <v>67</v>
      </c>
      <c r="F27" s="19" t="s">
        <v>202</v>
      </c>
      <c r="G27" s="19" t="s">
        <v>70</v>
      </c>
      <c r="H27" s="19" t="s">
        <v>207</v>
      </c>
      <c r="I27" s="19" t="s">
        <v>206</v>
      </c>
      <c r="J27" s="19" t="s">
        <v>205</v>
      </c>
      <c r="K27" s="19" t="s">
        <v>71</v>
      </c>
      <c r="L27" s="19" t="s">
        <v>85</v>
      </c>
      <c r="M27" s="19" t="s">
        <v>168</v>
      </c>
      <c r="N27" s="19" t="s">
        <v>170</v>
      </c>
      <c r="O27" s="19" t="s">
        <v>169</v>
      </c>
      <c r="P27" s="19" t="s">
        <v>72</v>
      </c>
      <c r="Q27" s="19" t="s">
        <v>171</v>
      </c>
      <c r="R27" s="19" t="s">
        <v>73</v>
      </c>
      <c r="S27" s="19" t="s">
        <v>74</v>
      </c>
      <c r="T27" s="19" t="s">
        <v>75</v>
      </c>
      <c r="U27" s="19" t="s">
        <v>76</v>
      </c>
      <c r="V27" s="19" t="s">
        <v>77</v>
      </c>
      <c r="W27" s="19" t="s">
        <v>72</v>
      </c>
      <c r="X27" s="19" t="s">
        <v>73</v>
      </c>
      <c r="Y27" s="19" t="s">
        <v>78</v>
      </c>
      <c r="Z27" s="19" t="s">
        <v>79</v>
      </c>
      <c r="AA27" s="105" t="s">
        <v>211</v>
      </c>
      <c r="AB27" s="105" t="s">
        <v>212</v>
      </c>
      <c r="AC27" s="19" t="s">
        <v>204</v>
      </c>
      <c r="BQ27" s="52">
        <v>400</v>
      </c>
      <c r="BR27" s="53" t="s">
        <v>127</v>
      </c>
      <c r="BS27" s="54">
        <v>406.4</v>
      </c>
      <c r="BT27" s="55">
        <v>9.5299999999999994</v>
      </c>
      <c r="BU27" s="54">
        <f t="shared" si="0"/>
        <v>387.34</v>
      </c>
    </row>
    <row r="28" spans="1:74" ht="15.75" thickBot="1">
      <c r="B28" s="10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BQ28" s="58">
        <v>450</v>
      </c>
      <c r="BR28" s="59" t="s">
        <v>128</v>
      </c>
      <c r="BS28" s="60">
        <v>457.2</v>
      </c>
      <c r="BT28" s="61">
        <v>9.5299999999999994</v>
      </c>
      <c r="BU28" s="60">
        <f t="shared" si="0"/>
        <v>438.14</v>
      </c>
    </row>
    <row r="29" spans="1:74">
      <c r="B29" s="20"/>
      <c r="C29" s="20"/>
      <c r="D29" s="21">
        <v>5</v>
      </c>
      <c r="E29" s="22">
        <f>15.5*(D29)^0.23/100</f>
        <v>0.2244371778859125</v>
      </c>
      <c r="F29" s="25">
        <f>(300-4.5)/4.5/E29*D29</f>
        <v>1462.9186502257398</v>
      </c>
      <c r="G29" s="23">
        <v>298</v>
      </c>
      <c r="H29" s="23">
        <v>1.05</v>
      </c>
      <c r="I29" s="23">
        <v>5</v>
      </c>
      <c r="J29" s="23">
        <v>19.8</v>
      </c>
      <c r="K29" s="28">
        <f>M29/O29</f>
        <v>0.5747881355932204</v>
      </c>
      <c r="L29" s="31">
        <f>P29/R29</f>
        <v>2.7370863599677158</v>
      </c>
      <c r="M29" s="32">
        <v>271.3</v>
      </c>
      <c r="N29" s="24">
        <f>O29-M29</f>
        <v>200.7</v>
      </c>
      <c r="O29" s="30">
        <v>472</v>
      </c>
      <c r="P29" s="33">
        <f>M29*3.6/(273.15/G29*H29*4/$B$8*$B$9)</f>
        <v>5758.4754238551668</v>
      </c>
      <c r="Q29" s="81">
        <f>N29*3.6/(273.15/G29*I29*4/$B$8*$B$9)</f>
        <v>894.59072498792375</v>
      </c>
      <c r="R29" s="33">
        <f>O29*3.6/(273.15/G29*I29*4/$B$8*$B$9)</f>
        <v>2103.8705639975087</v>
      </c>
      <c r="S29" s="26">
        <v>0.8</v>
      </c>
      <c r="T29" s="26">
        <v>0.75</v>
      </c>
      <c r="U29" s="23">
        <v>2</v>
      </c>
      <c r="V29" s="23">
        <v>2</v>
      </c>
      <c r="W29" s="25">
        <f>P29/U29/S29</f>
        <v>3599.047139909479</v>
      </c>
      <c r="X29" s="25">
        <f>R29/V29/T29</f>
        <v>1402.5803759983392</v>
      </c>
      <c r="Y29" s="28">
        <v>0.5</v>
      </c>
      <c r="Z29" s="28">
        <v>0.55000000000000004</v>
      </c>
      <c r="AA29" s="25">
        <f t="shared" ref="AA29" si="21">M29/4*8.314*G29*LN(I29/H29)/1000/Y29</f>
        <v>524.5066181560112</v>
      </c>
      <c r="AB29" s="25">
        <f t="shared" ref="AB29" si="22">O29/4*8.314*G29*LN(J29/I29)/1000/Z29</f>
        <v>731.5450038831658</v>
      </c>
      <c r="AC29" s="25">
        <f t="shared" ref="AC29" si="23">AB29+AA29</f>
        <v>1256.0516220391769</v>
      </c>
    </row>
    <row r="30" spans="1:74">
      <c r="B30" s="20"/>
      <c r="C30" s="20"/>
      <c r="D30" s="21">
        <v>11</v>
      </c>
      <c r="E30" s="22">
        <f>15.5*(D30)^0.23/100</f>
        <v>0.26906178296037664</v>
      </c>
      <c r="F30" s="25">
        <f>(300-4.5)/4.5/E30*D30</f>
        <v>2684.637429313801</v>
      </c>
      <c r="G30" s="23">
        <v>308</v>
      </c>
      <c r="H30" s="23">
        <v>1.05</v>
      </c>
      <c r="I30" s="23">
        <v>5</v>
      </c>
      <c r="J30" s="23">
        <v>20.309999999999999</v>
      </c>
      <c r="K30" s="28">
        <f>M30/O30</f>
        <v>0.54564102564102568</v>
      </c>
      <c r="L30" s="31">
        <f>P30/R30</f>
        <v>2.5982905982905975</v>
      </c>
      <c r="M30" s="32">
        <v>532</v>
      </c>
      <c r="N30" s="24">
        <f>O30-M30</f>
        <v>443</v>
      </c>
      <c r="O30" s="30">
        <v>975</v>
      </c>
      <c r="P30" s="33">
        <f>M30*3.6/(273.15/G30*H30*4/$B$8*$B$9)</f>
        <v>11670.885508392503</v>
      </c>
      <c r="Q30" s="81">
        <f>N30*3.6/(273.15/G30*I30*4/$B$8*$B$9)</f>
        <v>2040.8693211386367</v>
      </c>
      <c r="R30" s="33">
        <f>O30*3.6/(273.15/G30*I30*4/$B$8*$B$9)</f>
        <v>4491.755277901063</v>
      </c>
      <c r="S30" s="26">
        <v>0.8</v>
      </c>
      <c r="T30" s="26">
        <v>0.75</v>
      </c>
      <c r="U30" s="23">
        <v>2</v>
      </c>
      <c r="V30" s="23">
        <v>2</v>
      </c>
      <c r="W30" s="25">
        <f>P30/U30/S30</f>
        <v>7294.303442745314</v>
      </c>
      <c r="X30" s="25">
        <f>R30/V30/T30</f>
        <v>2994.5035186007085</v>
      </c>
      <c r="Y30" s="28">
        <v>0.5</v>
      </c>
      <c r="Z30" s="28">
        <v>0.55000000000000004</v>
      </c>
      <c r="AA30" s="25">
        <f t="shared" ref="AA30:AA31" si="24">M30/4*8.314*G30*LN(I30/H30)/1000/Y30</f>
        <v>1063.034264856648</v>
      </c>
      <c r="AB30" s="25">
        <f t="shared" ref="AB30:AB31" si="25">O30/4*8.314*G30*LN(J30/I30)/1000/Z30</f>
        <v>1590.7068177951692</v>
      </c>
      <c r="AC30" s="25">
        <f t="shared" ref="AC30:AC31" si="26">AB30+AA30</f>
        <v>2653.7410826518171</v>
      </c>
    </row>
    <row r="31" spans="1:74">
      <c r="B31" s="20"/>
      <c r="C31" s="20"/>
      <c r="D31" s="21">
        <v>25</v>
      </c>
      <c r="E31" s="22">
        <f>15.5*(D31)^0.23/100</f>
        <v>0.3249809472089854</v>
      </c>
      <c r="F31" s="25">
        <f>(300-4.5)/4.5/E31*D31</f>
        <v>5051.5781948624845</v>
      </c>
      <c r="G31" s="23">
        <v>308</v>
      </c>
      <c r="H31" s="23">
        <v>1.05</v>
      </c>
      <c r="I31" s="23">
        <v>5</v>
      </c>
      <c r="J31" s="23">
        <v>21.8</v>
      </c>
      <c r="K31" s="28">
        <f>M31/O31</f>
        <v>0.52497451580020382</v>
      </c>
      <c r="L31" s="31">
        <f>P31/R31</f>
        <v>2.499878646667637</v>
      </c>
      <c r="M31" s="32">
        <v>1030</v>
      </c>
      <c r="N31" s="24">
        <f>O31-M31</f>
        <v>932</v>
      </c>
      <c r="O31" s="30">
        <v>1962</v>
      </c>
      <c r="P31" s="33">
        <f>M31*3.6/(273.15/G31*H31*4/$B$8*$B$9)</f>
        <v>22595.887356474206</v>
      </c>
      <c r="Q31" s="81">
        <f>N31*3.6/(273.15/G31*I31*4/$B$8*$B$9)</f>
        <v>4293.6573528244007</v>
      </c>
      <c r="R31" s="33">
        <f>O31*3.6/(273.15/G31*I31*4/$B$8*$B$9)</f>
        <v>9038.7936976839846</v>
      </c>
      <c r="S31" s="26">
        <v>0.8</v>
      </c>
      <c r="T31" s="26">
        <v>0.75</v>
      </c>
      <c r="U31" s="23">
        <v>2</v>
      </c>
      <c r="V31" s="23">
        <v>2</v>
      </c>
      <c r="W31" s="25">
        <f>P31/U31/S31</f>
        <v>14122.429597796377</v>
      </c>
      <c r="X31" s="25">
        <f>R31/V31/T31</f>
        <v>6025.8624651226564</v>
      </c>
      <c r="Y31" s="28">
        <v>0.5</v>
      </c>
      <c r="Z31" s="28">
        <v>0.55000000000000004</v>
      </c>
      <c r="AA31" s="25">
        <f t="shared" si="24"/>
        <v>2058.1302496284725</v>
      </c>
      <c r="AB31" s="25">
        <f t="shared" si="25"/>
        <v>3362.6690058880245</v>
      </c>
      <c r="AC31" s="25">
        <f t="shared" si="26"/>
        <v>5420.7992555164965</v>
      </c>
    </row>
  </sheetData>
  <dataValidations count="1">
    <dataValidation type="list" allowBlank="1" showInputMessage="1" showErrorMessage="1" sqref="AF19:AN19">
      <formula1>Liste_DN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C7:P68"/>
  <sheetViews>
    <sheetView topLeftCell="D55" workbookViewId="0">
      <selection activeCell="H35" sqref="H35"/>
    </sheetView>
  </sheetViews>
  <sheetFormatPr defaultColWidth="11.42578125" defaultRowHeight="15"/>
  <cols>
    <col min="1" max="2" width="11.42578125" style="2"/>
    <col min="3" max="3" width="30.42578125" style="2" customWidth="1"/>
    <col min="4" max="4" width="34.140625" style="10" customWidth="1"/>
    <col min="5" max="5" width="31.5703125" style="10" customWidth="1"/>
    <col min="6" max="6" width="11.42578125" style="2"/>
    <col min="7" max="7" width="37.5703125" style="2" bestFit="1" customWidth="1"/>
    <col min="8" max="8" width="48.28515625" style="2" customWidth="1"/>
    <col min="9" max="16384" width="11.42578125" style="2"/>
  </cols>
  <sheetData>
    <row r="7" spans="3:6">
      <c r="C7" s="2" t="s">
        <v>163</v>
      </c>
    </row>
    <row r="9" spans="3:6">
      <c r="C9" s="2" t="s">
        <v>164</v>
      </c>
      <c r="E9" s="10" t="s">
        <v>131</v>
      </c>
      <c r="F9" s="10" t="s">
        <v>132</v>
      </c>
    </row>
    <row r="10" spans="3:6">
      <c r="C10" s="2" t="s">
        <v>165</v>
      </c>
      <c r="E10" s="82">
        <f>+Com_need!R14</f>
        <v>4318.5143171451518</v>
      </c>
      <c r="F10" s="82">
        <f>+Com_need!R15</f>
        <v>8744.7655506578903</v>
      </c>
    </row>
    <row r="11" spans="3:6">
      <c r="C11" s="2" t="s">
        <v>167</v>
      </c>
      <c r="E11" s="82">
        <f>+Com_need!Q14</f>
        <v>2051.2943006439468</v>
      </c>
      <c r="F11" s="82">
        <f>+Com_need!Q15</f>
        <v>4153.7636365624967</v>
      </c>
    </row>
    <row r="12" spans="3:6">
      <c r="C12" s="2" t="s">
        <v>166</v>
      </c>
      <c r="E12" s="82">
        <f>+Com_need!P14</f>
        <v>10796.28579286288</v>
      </c>
      <c r="F12" s="82">
        <f>+Com_need!P15</f>
        <v>21861.913876644725</v>
      </c>
    </row>
    <row r="15" spans="3:6">
      <c r="C15" s="2" t="s">
        <v>182</v>
      </c>
    </row>
    <row r="16" spans="3:6">
      <c r="C16" s="2" t="s">
        <v>56</v>
      </c>
      <c r="E16" s="10">
        <v>7</v>
      </c>
      <c r="F16" s="2">
        <v>9</v>
      </c>
    </row>
    <row r="17" spans="3:5">
      <c r="C17" s="2" t="s">
        <v>57</v>
      </c>
      <c r="D17" s="10">
        <v>1.5</v>
      </c>
    </row>
    <row r="18" spans="3:5">
      <c r="C18" s="2" t="s">
        <v>58</v>
      </c>
      <c r="D18" s="84" t="s">
        <v>183</v>
      </c>
    </row>
    <row r="20" spans="3:5">
      <c r="C20" s="2" t="s">
        <v>185</v>
      </c>
    </row>
    <row r="22" spans="3:5" ht="15.75" thickBot="1">
      <c r="C22" s="78" t="s">
        <v>164</v>
      </c>
      <c r="D22" s="83" t="s">
        <v>181</v>
      </c>
      <c r="E22" s="83"/>
    </row>
    <row r="23" spans="3:5">
      <c r="C23" s="2" t="s">
        <v>165</v>
      </c>
      <c r="D23" s="10" t="s">
        <v>180</v>
      </c>
    </row>
    <row r="24" spans="3:5">
      <c r="C24" s="2" t="s">
        <v>167</v>
      </c>
    </row>
    <row r="25" spans="3:5">
      <c r="C25" s="2" t="s">
        <v>166</v>
      </c>
    </row>
    <row r="26" spans="3:5">
      <c r="C26" s="2" t="s">
        <v>175</v>
      </c>
    </row>
    <row r="27" spans="3:5">
      <c r="C27" s="2" t="s">
        <v>172</v>
      </c>
    </row>
    <row r="28" spans="3:5">
      <c r="C28" s="2" t="s">
        <v>173</v>
      </c>
    </row>
    <row r="29" spans="3:5">
      <c r="C29" s="2" t="s">
        <v>174</v>
      </c>
    </row>
    <row r="30" spans="3:5">
      <c r="C30" s="2" t="s">
        <v>173</v>
      </c>
    </row>
    <row r="31" spans="3:5">
      <c r="C31" s="2" t="s">
        <v>176</v>
      </c>
    </row>
    <row r="32" spans="3:5">
      <c r="C32" s="2" t="s">
        <v>177</v>
      </c>
    </row>
    <row r="33" spans="3:16">
      <c r="C33" s="2" t="s">
        <v>178</v>
      </c>
    </row>
    <row r="34" spans="3:16">
      <c r="C34" s="2" t="s">
        <v>179</v>
      </c>
    </row>
    <row r="35" spans="3:16">
      <c r="C35" s="2" t="s">
        <v>184</v>
      </c>
    </row>
    <row r="40" spans="3:16">
      <c r="L40" s="2" t="s">
        <v>55</v>
      </c>
    </row>
    <row r="41" spans="3:16">
      <c r="C41" s="140" t="s">
        <v>0</v>
      </c>
      <c r="D41" s="140" t="s">
        <v>1</v>
      </c>
      <c r="E41" s="140"/>
    </row>
    <row r="42" spans="3:16">
      <c r="C42" s="140"/>
      <c r="D42" s="34" t="s">
        <v>2</v>
      </c>
      <c r="E42" s="34" t="s">
        <v>3</v>
      </c>
      <c r="G42" s="2" t="s">
        <v>35</v>
      </c>
      <c r="H42" s="3" t="s">
        <v>41</v>
      </c>
      <c r="M42" s="10">
        <v>1</v>
      </c>
      <c r="N42" s="10">
        <v>2</v>
      </c>
      <c r="O42" s="10">
        <v>3</v>
      </c>
      <c r="P42" s="10"/>
    </row>
    <row r="43" spans="3:16" ht="30">
      <c r="C43" s="4" t="s">
        <v>17</v>
      </c>
      <c r="D43" s="5" t="s">
        <v>6</v>
      </c>
      <c r="E43" s="5" t="s">
        <v>12</v>
      </c>
      <c r="G43" s="6" t="s">
        <v>37</v>
      </c>
      <c r="H43" s="7" t="s">
        <v>45</v>
      </c>
      <c r="I43" s="8" t="s">
        <v>48</v>
      </c>
      <c r="L43" s="2" t="s">
        <v>56</v>
      </c>
    </row>
    <row r="44" spans="3:16">
      <c r="C44" s="9"/>
      <c r="D44" s="5" t="s">
        <v>13</v>
      </c>
      <c r="E44" s="5" t="s">
        <v>7</v>
      </c>
      <c r="G44" s="7" t="s">
        <v>38</v>
      </c>
      <c r="H44" s="10" t="s">
        <v>46</v>
      </c>
      <c r="I44" s="11" t="s">
        <v>48</v>
      </c>
      <c r="L44" s="2" t="s">
        <v>57</v>
      </c>
    </row>
    <row r="45" spans="3:16">
      <c r="C45" s="9"/>
      <c r="D45" s="5" t="s">
        <v>4</v>
      </c>
      <c r="E45" s="5" t="s">
        <v>8</v>
      </c>
      <c r="H45" s="10" t="s">
        <v>47</v>
      </c>
      <c r="I45" s="12" t="s">
        <v>49</v>
      </c>
      <c r="L45" s="2" t="s">
        <v>58</v>
      </c>
      <c r="P45" s="2" t="s">
        <v>59</v>
      </c>
    </row>
    <row r="46" spans="3:16">
      <c r="C46" s="9"/>
      <c r="D46" s="5" t="s">
        <v>5</v>
      </c>
      <c r="E46" s="5" t="s">
        <v>11</v>
      </c>
    </row>
    <row r="47" spans="3:16">
      <c r="C47" s="9"/>
      <c r="D47" s="5" t="s">
        <v>9</v>
      </c>
      <c r="E47" s="5" t="s">
        <v>10</v>
      </c>
      <c r="G47" s="2" t="s">
        <v>39</v>
      </c>
      <c r="H47" s="5" t="s">
        <v>42</v>
      </c>
      <c r="I47" s="11" t="s">
        <v>51</v>
      </c>
    </row>
    <row r="48" spans="3:16" ht="30">
      <c r="C48" s="9"/>
      <c r="D48" s="13" t="s">
        <v>19</v>
      </c>
      <c r="E48" s="5" t="s">
        <v>14</v>
      </c>
      <c r="G48" s="2" t="s">
        <v>40</v>
      </c>
      <c r="H48" s="5" t="s">
        <v>43</v>
      </c>
    </row>
    <row r="49" spans="3:9">
      <c r="C49" s="9"/>
      <c r="D49" s="5" t="s">
        <v>22</v>
      </c>
      <c r="E49" s="5" t="s">
        <v>15</v>
      </c>
      <c r="G49" s="2" t="s">
        <v>36</v>
      </c>
      <c r="H49" s="10" t="s">
        <v>44</v>
      </c>
      <c r="I49" s="14" t="s">
        <v>50</v>
      </c>
    </row>
    <row r="50" spans="3:9">
      <c r="C50" s="15"/>
      <c r="D50" s="5"/>
      <c r="E50" s="5" t="s">
        <v>21</v>
      </c>
    </row>
    <row r="52" spans="3:9" ht="45">
      <c r="C52" s="4" t="s">
        <v>18</v>
      </c>
      <c r="D52" s="5" t="s">
        <v>6</v>
      </c>
      <c r="E52" s="5" t="s">
        <v>7</v>
      </c>
    </row>
    <row r="53" spans="3:9">
      <c r="C53" s="9"/>
      <c r="D53" s="5" t="s">
        <v>16</v>
      </c>
      <c r="E53" s="5" t="s">
        <v>8</v>
      </c>
    </row>
    <row r="54" spans="3:9">
      <c r="C54" s="9"/>
      <c r="D54" s="5" t="s">
        <v>4</v>
      </c>
      <c r="E54" s="5" t="s">
        <v>11</v>
      </c>
    </row>
    <row r="55" spans="3:9">
      <c r="C55" s="9"/>
      <c r="D55" s="5" t="s">
        <v>5</v>
      </c>
      <c r="E55" s="5" t="s">
        <v>20</v>
      </c>
    </row>
    <row r="56" spans="3:9">
      <c r="C56" s="9"/>
      <c r="D56" s="5" t="s">
        <v>9</v>
      </c>
      <c r="E56" s="5" t="s">
        <v>54</v>
      </c>
    </row>
    <row r="57" spans="3:9">
      <c r="C57" s="9"/>
      <c r="D57" s="5"/>
      <c r="E57" s="5" t="s">
        <v>23</v>
      </c>
      <c r="G57" s="2" t="s">
        <v>53</v>
      </c>
    </row>
    <row r="58" spans="3:9">
      <c r="C58" s="9"/>
      <c r="D58" s="5"/>
      <c r="E58" s="5" t="s">
        <v>25</v>
      </c>
    </row>
    <row r="59" spans="3:9">
      <c r="C59" s="9"/>
      <c r="D59" s="5"/>
      <c r="E59" s="5" t="s">
        <v>24</v>
      </c>
    </row>
    <row r="60" spans="3:9">
      <c r="C60" s="9"/>
      <c r="D60" s="5"/>
      <c r="E60" s="5" t="s">
        <v>26</v>
      </c>
    </row>
    <row r="61" spans="3:9">
      <c r="C61" s="15"/>
      <c r="D61" s="5"/>
      <c r="E61" s="5" t="s">
        <v>27</v>
      </c>
      <c r="G61" s="2" t="s">
        <v>52</v>
      </c>
    </row>
    <row r="63" spans="3:9" ht="30">
      <c r="C63" s="4" t="s">
        <v>28</v>
      </c>
      <c r="D63" s="5" t="s">
        <v>6</v>
      </c>
      <c r="E63" s="5" t="s">
        <v>29</v>
      </c>
    </row>
    <row r="64" spans="3:9">
      <c r="C64" s="9"/>
      <c r="D64" s="5" t="s">
        <v>16</v>
      </c>
      <c r="E64" s="5" t="s">
        <v>30</v>
      </c>
    </row>
    <row r="65" spans="3:5">
      <c r="C65" s="9"/>
      <c r="D65" s="5"/>
      <c r="E65" s="5" t="s">
        <v>31</v>
      </c>
    </row>
    <row r="66" spans="3:5">
      <c r="C66" s="9"/>
      <c r="D66" s="5"/>
      <c r="E66" s="5" t="s">
        <v>32</v>
      </c>
    </row>
    <row r="67" spans="3:5">
      <c r="C67" s="9"/>
      <c r="D67" s="5"/>
      <c r="E67" s="5" t="s">
        <v>33</v>
      </c>
    </row>
    <row r="68" spans="3:5">
      <c r="C68" s="15"/>
      <c r="D68" s="5"/>
      <c r="E68" s="5" t="s">
        <v>34</v>
      </c>
    </row>
  </sheetData>
  <mergeCells count="2">
    <mergeCell ref="C41:C42"/>
    <mergeCell ref="D41:E41"/>
  </mergeCells>
  <pageMargins left="0.7" right="0.7" top="0.75" bottom="0.75" header="0.3" footer="0.3"/>
  <pageSetup paperSize="9" orientation="portrait" r:id="rId1"/>
  <legacyDrawing r:id="rId2"/>
  <oleObjects>
    <oleObject progId="Visio.Drawing.11" shapeId="4097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C11:F16"/>
  <sheetViews>
    <sheetView topLeftCell="B6" zoomScale="130" zoomScaleNormal="130" workbookViewId="0">
      <selection activeCell="D27" sqref="D27"/>
    </sheetView>
  </sheetViews>
  <sheetFormatPr defaultColWidth="11.42578125" defaultRowHeight="15"/>
  <cols>
    <col min="1" max="2" width="11.42578125" style="2"/>
    <col min="3" max="3" width="17.28515625" style="2" customWidth="1"/>
    <col min="4" max="6" width="11.42578125" style="10"/>
    <col min="7" max="16384" width="11.42578125" style="2"/>
  </cols>
  <sheetData>
    <row r="11" spans="3:3">
      <c r="C11" s="2" t="s">
        <v>191</v>
      </c>
    </row>
    <row r="14" spans="3:3">
      <c r="C14" s="2" t="s">
        <v>192</v>
      </c>
    </row>
    <row r="15" spans="3:3">
      <c r="C15" s="2" t="s">
        <v>193</v>
      </c>
    </row>
    <row r="16" spans="3:3">
      <c r="C16" s="2" t="s">
        <v>194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/>
  <dimension ref="B5:D12"/>
  <sheetViews>
    <sheetView workbookViewId="0">
      <selection activeCell="F17" sqref="F17"/>
    </sheetView>
  </sheetViews>
  <sheetFormatPr defaultColWidth="11.42578125" defaultRowHeight="15"/>
  <cols>
    <col min="1" max="16384" width="11.42578125" style="2"/>
  </cols>
  <sheetData>
    <row r="5" spans="2:4">
      <c r="C5" s="2" t="s">
        <v>63</v>
      </c>
    </row>
    <row r="7" spans="2:4">
      <c r="C7" s="16" t="s">
        <v>92</v>
      </c>
    </row>
    <row r="9" spans="2:4">
      <c r="C9" s="2">
        <v>1.05</v>
      </c>
    </row>
    <row r="10" spans="2:4">
      <c r="B10" s="2" t="s">
        <v>93</v>
      </c>
      <c r="C10" s="2">
        <v>2.6</v>
      </c>
    </row>
    <row r="11" spans="2:4">
      <c r="B11" s="2" t="s">
        <v>94</v>
      </c>
      <c r="C11" s="2">
        <f>C9*C10^1.666</f>
        <v>5.1586361450670566</v>
      </c>
      <c r="D11" s="2">
        <f>C11/C9</f>
        <v>4.9129868048257679</v>
      </c>
    </row>
    <row r="12" spans="2:4">
      <c r="B12" s="2" t="s">
        <v>95</v>
      </c>
      <c r="C12" s="2">
        <f>C11*C10^1.66</f>
        <v>25.199426349024723</v>
      </c>
      <c r="D12" s="2">
        <f>C12/C11</f>
        <v>4.8849009002353583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/>
  <dimension ref="C1:P48"/>
  <sheetViews>
    <sheetView zoomScale="85" zoomScaleNormal="85" workbookViewId="0">
      <selection activeCell="D15" sqref="D15"/>
    </sheetView>
  </sheetViews>
  <sheetFormatPr defaultRowHeight="15"/>
  <cols>
    <col min="1" max="2" width="9.140625" style="2"/>
    <col min="3" max="3" width="32.7109375" style="2" customWidth="1"/>
    <col min="4" max="6" width="10.5703125" style="2" bestFit="1" customWidth="1"/>
    <col min="7" max="16384" width="9.140625" style="2"/>
  </cols>
  <sheetData>
    <row r="1" spans="3:16" ht="15.75" thickBot="1"/>
    <row r="2" spans="3:16" ht="15.75" thickBot="1">
      <c r="L2" s="39" t="s">
        <v>105</v>
      </c>
      <c r="M2" s="38"/>
      <c r="N2" s="64" t="s">
        <v>106</v>
      </c>
      <c r="O2" s="65"/>
      <c r="P2" s="65"/>
    </row>
    <row r="3" spans="3:16" ht="39" thickBot="1">
      <c r="C3" s="79" t="s">
        <v>154</v>
      </c>
      <c r="D3" s="78"/>
      <c r="E3" s="78"/>
      <c r="F3" s="78"/>
      <c r="G3" s="78"/>
      <c r="H3" s="78"/>
      <c r="I3" s="78"/>
      <c r="L3" s="37" t="s">
        <v>107</v>
      </c>
      <c r="M3" s="37" t="s">
        <v>108</v>
      </c>
      <c r="N3" s="37" t="s">
        <v>109</v>
      </c>
      <c r="O3" s="37" t="s">
        <v>110</v>
      </c>
      <c r="P3" s="37" t="s">
        <v>111</v>
      </c>
    </row>
    <row r="4" spans="3:16">
      <c r="L4" s="44">
        <v>8</v>
      </c>
      <c r="M4" s="45" t="s">
        <v>112</v>
      </c>
      <c r="N4" s="46">
        <v>13.7</v>
      </c>
      <c r="O4" s="47">
        <v>1.65</v>
      </c>
      <c r="P4" s="46">
        <f>N4-2*O4</f>
        <v>10.399999999999999</v>
      </c>
    </row>
    <row r="5" spans="3:16">
      <c r="D5" s="10"/>
      <c r="E5" s="10"/>
      <c r="F5" s="10"/>
      <c r="L5" s="48">
        <v>10</v>
      </c>
      <c r="M5" s="49" t="s">
        <v>113</v>
      </c>
      <c r="N5" s="50">
        <v>17.100000000000001</v>
      </c>
      <c r="O5" s="51">
        <v>1.65</v>
      </c>
      <c r="P5" s="50">
        <f t="shared" ref="P5:P22" si="0">N5-2*O5</f>
        <v>13.8</v>
      </c>
    </row>
    <row r="6" spans="3:16">
      <c r="D6" s="42" t="s">
        <v>130</v>
      </c>
      <c r="E6" s="42" t="s">
        <v>131</v>
      </c>
      <c r="F6" s="42" t="s">
        <v>132</v>
      </c>
      <c r="I6" s="42" t="s">
        <v>153</v>
      </c>
      <c r="L6" s="52">
        <v>15</v>
      </c>
      <c r="M6" s="53" t="s">
        <v>114</v>
      </c>
      <c r="N6" s="54">
        <v>21.3</v>
      </c>
      <c r="O6" s="55">
        <v>1.65</v>
      </c>
      <c r="P6" s="54">
        <f t="shared" si="0"/>
        <v>18</v>
      </c>
    </row>
    <row r="7" spans="3:16" s="20" customFormat="1">
      <c r="C7" s="71" t="s">
        <v>96</v>
      </c>
      <c r="D7" s="43">
        <v>11</v>
      </c>
      <c r="E7" s="43">
        <v>11</v>
      </c>
      <c r="F7" s="43">
        <v>11</v>
      </c>
      <c r="I7" s="43">
        <v>11</v>
      </c>
      <c r="L7" s="48">
        <v>20</v>
      </c>
      <c r="M7" s="49" t="s">
        <v>115</v>
      </c>
      <c r="N7" s="50">
        <v>26.7</v>
      </c>
      <c r="O7" s="51">
        <v>1.65</v>
      </c>
      <c r="P7" s="50">
        <f t="shared" si="0"/>
        <v>23.4</v>
      </c>
    </row>
    <row r="8" spans="3:16" s="20" customFormat="1">
      <c r="C8" s="71" t="s">
        <v>97</v>
      </c>
      <c r="D8" s="43">
        <v>600</v>
      </c>
      <c r="E8" s="43">
        <v>1200</v>
      </c>
      <c r="F8" s="43">
        <v>1800</v>
      </c>
      <c r="I8" s="43">
        <v>806</v>
      </c>
      <c r="L8" s="48">
        <v>25</v>
      </c>
      <c r="M8" s="49" t="s">
        <v>116</v>
      </c>
      <c r="N8" s="50">
        <v>33.4</v>
      </c>
      <c r="O8" s="51">
        <v>1.65</v>
      </c>
      <c r="P8" s="50">
        <f t="shared" si="0"/>
        <v>30.099999999999998</v>
      </c>
    </row>
    <row r="9" spans="3:16" s="20" customFormat="1">
      <c r="C9" s="71" t="s">
        <v>98</v>
      </c>
      <c r="D9" s="43">
        <v>22</v>
      </c>
      <c r="E9" s="43">
        <v>22</v>
      </c>
      <c r="F9" s="43">
        <v>22</v>
      </c>
      <c r="I9" s="43">
        <v>16</v>
      </c>
      <c r="L9" s="48">
        <v>32</v>
      </c>
      <c r="M9" s="49" t="s">
        <v>117</v>
      </c>
      <c r="N9" s="50">
        <v>42.2</v>
      </c>
      <c r="O9" s="51">
        <v>1.65</v>
      </c>
      <c r="P9" s="50">
        <f t="shared" si="0"/>
        <v>38.900000000000006</v>
      </c>
    </row>
    <row r="10" spans="3:16" s="20" customFormat="1">
      <c r="C10" s="71" t="s">
        <v>99</v>
      </c>
      <c r="D10" s="43">
        <v>300</v>
      </c>
      <c r="E10" s="43">
        <v>300</v>
      </c>
      <c r="F10" s="43">
        <v>300</v>
      </c>
      <c r="I10" s="43">
        <v>306</v>
      </c>
      <c r="L10" s="52">
        <v>40</v>
      </c>
      <c r="M10" s="53" t="s">
        <v>118</v>
      </c>
      <c r="N10" s="54">
        <v>48.3</v>
      </c>
      <c r="O10" s="55">
        <v>1.65</v>
      </c>
      <c r="P10" s="54">
        <f t="shared" si="0"/>
        <v>45</v>
      </c>
    </row>
    <row r="11" spans="3:16" s="20" customFormat="1">
      <c r="C11" s="71" t="s">
        <v>100</v>
      </c>
      <c r="D11" s="56">
        <f>[6]!rho_(D7,D9,D10)</f>
        <v>3.4951730206854412</v>
      </c>
      <c r="E11" s="56">
        <f>[6]!rho_(E7,E9,E10)</f>
        <v>3.4951730206854412</v>
      </c>
      <c r="F11" s="56">
        <f>[6]!rho_(F7,F9,F10)</f>
        <v>3.4951730206854412</v>
      </c>
      <c r="I11" s="56">
        <f>[6]!rho_(I7,I9,I10)</f>
        <v>2.4993057538562558</v>
      </c>
      <c r="L11" s="52">
        <v>50</v>
      </c>
      <c r="M11" s="53" t="s">
        <v>119</v>
      </c>
      <c r="N11" s="54">
        <v>60.3</v>
      </c>
      <c r="O11" s="55">
        <v>2.77</v>
      </c>
      <c r="P11" s="54">
        <f t="shared" si="0"/>
        <v>54.76</v>
      </c>
    </row>
    <row r="12" spans="3:16" s="20" customFormat="1">
      <c r="C12" s="75" t="s">
        <v>152</v>
      </c>
      <c r="D12" s="76">
        <f>D8/1000*3600/D11</f>
        <v>617.99515709708714</v>
      </c>
      <c r="E12" s="76">
        <f>E8/1000*3600/E11</f>
        <v>1235.9903141941743</v>
      </c>
      <c r="F12" s="76">
        <f>F8/1000*3600/F11</f>
        <v>1853.9854712912615</v>
      </c>
      <c r="I12" s="76">
        <f>I8/1000*3600/I11</f>
        <v>1160.9623974669896</v>
      </c>
      <c r="L12" s="48">
        <v>65</v>
      </c>
      <c r="M12" s="49" t="s">
        <v>120</v>
      </c>
      <c r="N12" s="50">
        <v>73</v>
      </c>
      <c r="O12" s="51">
        <v>3.05</v>
      </c>
      <c r="P12" s="50">
        <f t="shared" si="0"/>
        <v>66.900000000000006</v>
      </c>
    </row>
    <row r="13" spans="3:16" s="20" customFormat="1">
      <c r="C13" s="71" t="s">
        <v>101</v>
      </c>
      <c r="D13" s="43">
        <v>10</v>
      </c>
      <c r="E13" s="43">
        <v>10</v>
      </c>
      <c r="F13" s="43">
        <v>10</v>
      </c>
      <c r="I13" s="43">
        <v>10</v>
      </c>
      <c r="L13" s="52">
        <v>80</v>
      </c>
      <c r="M13" s="53" t="s">
        <v>121</v>
      </c>
      <c r="N13" s="54">
        <v>88.9</v>
      </c>
      <c r="O13" s="55">
        <v>3.05</v>
      </c>
      <c r="P13" s="54">
        <f t="shared" si="0"/>
        <v>82.800000000000011</v>
      </c>
    </row>
    <row r="14" spans="3:16" s="20" customFormat="1">
      <c r="C14" s="71" t="s">
        <v>102</v>
      </c>
      <c r="D14" s="43">
        <v>10</v>
      </c>
      <c r="E14" s="43">
        <v>10</v>
      </c>
      <c r="F14" s="43">
        <v>10</v>
      </c>
      <c r="I14" s="43">
        <v>10</v>
      </c>
      <c r="L14" s="52">
        <v>100</v>
      </c>
      <c r="M14" s="53" t="s">
        <v>122</v>
      </c>
      <c r="N14" s="54">
        <v>114.3</v>
      </c>
      <c r="O14" s="55">
        <v>3.05</v>
      </c>
      <c r="P14" s="54">
        <f t="shared" si="0"/>
        <v>108.2</v>
      </c>
    </row>
    <row r="15" spans="3:16" s="20" customFormat="1">
      <c r="C15" s="71" t="s">
        <v>103</v>
      </c>
      <c r="D15" s="62">
        <v>100</v>
      </c>
      <c r="E15" s="62">
        <v>150</v>
      </c>
      <c r="F15" s="62">
        <v>200</v>
      </c>
      <c r="I15" s="62">
        <v>150</v>
      </c>
      <c r="L15" s="48">
        <v>125</v>
      </c>
      <c r="M15" s="49" t="s">
        <v>123</v>
      </c>
      <c r="N15" s="50">
        <v>141.30000000000001</v>
      </c>
      <c r="O15" s="51">
        <v>3.4</v>
      </c>
      <c r="P15" s="50">
        <f t="shared" si="0"/>
        <v>134.5</v>
      </c>
    </row>
    <row r="16" spans="3:16" s="20" customFormat="1">
      <c r="C16" s="71" t="s">
        <v>103</v>
      </c>
      <c r="D16" s="73">
        <f>VLOOKUP(D15,$L$4:$P$22,5,FALSE)</f>
        <v>108.2</v>
      </c>
      <c r="E16" s="73">
        <f t="shared" ref="E16:F16" si="1">VLOOKUP(E15,$L$4:$P$22,5,FALSE)</f>
        <v>161.5</v>
      </c>
      <c r="F16" s="73">
        <f t="shared" si="1"/>
        <v>211.57999999999998</v>
      </c>
      <c r="I16" s="73">
        <f>VLOOKUP(I15,$L$4:$P$22,5,FALSE)</f>
        <v>161.5</v>
      </c>
      <c r="L16" s="52">
        <v>150</v>
      </c>
      <c r="M16" s="53" t="s">
        <v>48</v>
      </c>
      <c r="N16" s="54">
        <v>168.3</v>
      </c>
      <c r="O16" s="55">
        <v>3.4</v>
      </c>
      <c r="P16" s="54">
        <f t="shared" si="0"/>
        <v>161.5</v>
      </c>
    </row>
    <row r="17" spans="3:16" s="20" customFormat="1">
      <c r="C17" s="71" t="s">
        <v>104</v>
      </c>
      <c r="D17" s="73">
        <f>[6]!DP_mbar_iter(D8,D13,D16,D14,D7,D9,D10)</f>
        <v>28.022125037793444</v>
      </c>
      <c r="E17" s="73">
        <f>[6]!DP_mbar_iter(E8,E13,E16,E14,E7,E9,E10)</f>
        <v>19.527426777688817</v>
      </c>
      <c r="F17" s="73">
        <f>[6]!DP_mbar_iter(F8,F13,F16,F14,F7,F9,F10)</f>
        <v>13.886838215977804</v>
      </c>
      <c r="I17" s="73">
        <f>[6]!DP_mbar_iter(I8,I13,I16,I14,I7,I9,I10)</f>
        <v>12.390122636826817</v>
      </c>
      <c r="L17" s="52">
        <v>200</v>
      </c>
      <c r="M17" s="53" t="s">
        <v>124</v>
      </c>
      <c r="N17" s="54">
        <v>219.1</v>
      </c>
      <c r="O17" s="55">
        <v>3.76</v>
      </c>
      <c r="P17" s="54">
        <f t="shared" si="0"/>
        <v>211.57999999999998</v>
      </c>
    </row>
    <row r="18" spans="3:16" s="20" customFormat="1">
      <c r="C18" s="74" t="s">
        <v>151</v>
      </c>
      <c r="D18" s="72">
        <f>D17/D13</f>
        <v>2.8022125037793444</v>
      </c>
      <c r="E18" s="72">
        <f>E17/E13</f>
        <v>1.9527426777688817</v>
      </c>
      <c r="F18" s="72">
        <f>F17/F13</f>
        <v>1.3886838215977804</v>
      </c>
      <c r="I18" s="72">
        <f>I17/I13</f>
        <v>1.2390122636826817</v>
      </c>
      <c r="L18" s="52">
        <v>250</v>
      </c>
      <c r="M18" s="53" t="s">
        <v>49</v>
      </c>
      <c r="N18" s="54">
        <v>273</v>
      </c>
      <c r="O18" s="55">
        <v>9.27</v>
      </c>
      <c r="P18" s="54">
        <f t="shared" si="0"/>
        <v>254.46</v>
      </c>
    </row>
    <row r="19" spans="3:16" s="20" customFormat="1">
      <c r="C19" s="71" t="s">
        <v>150</v>
      </c>
      <c r="D19" s="73">
        <f>((D8/1000)/D11)*(4/(PI()*(D16/1000)^2))</f>
        <v>18.669735623967892</v>
      </c>
      <c r="E19" s="73">
        <f>((E8/1000)/E11)*(4/(PI()*(E16/1000)^2))</f>
        <v>16.760139611141053</v>
      </c>
      <c r="F19" s="73">
        <f>((F8/1000)/F11)*(4/(PI()*(F16/1000)^2))</f>
        <v>14.647540880044783</v>
      </c>
      <c r="I19" s="73">
        <f>((I8/1000)/I11)*(4/(PI()*(I16/1000)^2))</f>
        <v>15.742754325318227</v>
      </c>
      <c r="L19" s="52">
        <v>300</v>
      </c>
      <c r="M19" s="53" t="s">
        <v>125</v>
      </c>
      <c r="N19" s="54">
        <v>323.89999999999998</v>
      </c>
      <c r="O19" s="55">
        <v>9.5299999999999994</v>
      </c>
      <c r="P19" s="54">
        <f t="shared" si="0"/>
        <v>304.83999999999997</v>
      </c>
    </row>
    <row r="20" spans="3:16" s="20" customFormat="1">
      <c r="C20" s="71" t="s">
        <v>129</v>
      </c>
      <c r="D20" s="72">
        <f>D19/[6]!Sound_speed(D7,D9,D10)</f>
        <v>1.8150896528446241E-2</v>
      </c>
      <c r="E20" s="72">
        <f>E19/[6]!Sound_speed(E7,E9,E10)</f>
        <v>1.6294368919375208E-2</v>
      </c>
      <c r="F20" s="72">
        <f>F19/[6]!Sound_speed(F7,F9,F10)</f>
        <v>1.4240480115238749E-2</v>
      </c>
      <c r="I20" s="72">
        <f>I19/[6]!Sound_speed(I7,I9,I10)</f>
        <v>1.5194986863399186E-2</v>
      </c>
      <c r="L20" s="52">
        <v>350</v>
      </c>
      <c r="M20" s="53" t="s">
        <v>126</v>
      </c>
      <c r="N20" s="54">
        <v>355.6</v>
      </c>
      <c r="O20" s="55">
        <v>9.5299999999999994</v>
      </c>
      <c r="P20" s="54">
        <f t="shared" si="0"/>
        <v>336.54</v>
      </c>
    </row>
    <row r="21" spans="3:16" s="20" customFormat="1">
      <c r="L21" s="52">
        <v>400</v>
      </c>
      <c r="M21" s="53" t="s">
        <v>127</v>
      </c>
      <c r="N21" s="54">
        <v>406.4</v>
      </c>
      <c r="O21" s="55">
        <v>9.5299999999999994</v>
      </c>
      <c r="P21" s="54">
        <f t="shared" si="0"/>
        <v>387.34</v>
      </c>
    </row>
    <row r="22" spans="3:16" s="20" customFormat="1" ht="15.75" thickBot="1">
      <c r="C22" s="71" t="s">
        <v>133</v>
      </c>
      <c r="D22" s="57">
        <v>90</v>
      </c>
      <c r="E22" s="57">
        <v>90</v>
      </c>
      <c r="F22" s="57">
        <v>90</v>
      </c>
      <c r="I22" s="57">
        <v>90</v>
      </c>
      <c r="L22" s="58">
        <v>450</v>
      </c>
      <c r="M22" s="59" t="s">
        <v>128</v>
      </c>
      <c r="N22" s="60">
        <v>457.2</v>
      </c>
      <c r="O22" s="61">
        <v>9.5299999999999994</v>
      </c>
      <c r="P22" s="60">
        <f t="shared" si="0"/>
        <v>438.14</v>
      </c>
    </row>
    <row r="23" spans="3:16" s="20" customFormat="1">
      <c r="C23" s="71" t="s">
        <v>134</v>
      </c>
      <c r="D23" s="57">
        <v>761</v>
      </c>
      <c r="E23" s="57">
        <v>761</v>
      </c>
      <c r="F23" s="57">
        <v>761</v>
      </c>
      <c r="I23" s="57">
        <v>761</v>
      </c>
    </row>
    <row r="24" spans="3:16" s="20" customFormat="1">
      <c r="C24" s="71" t="s">
        <v>136</v>
      </c>
      <c r="D24" s="76">
        <v>12</v>
      </c>
      <c r="E24" s="76">
        <v>22</v>
      </c>
      <c r="F24" s="76">
        <v>38</v>
      </c>
      <c r="G24" s="2"/>
      <c r="H24" s="2"/>
      <c r="I24" s="76">
        <v>8</v>
      </c>
    </row>
    <row r="25" spans="3:16" s="20" customFormat="1">
      <c r="C25" s="71" t="s">
        <v>137</v>
      </c>
      <c r="D25" s="63">
        <f>PI()*(D22*10^-3)*D23*10^-3*D24</f>
        <v>2.5820121701323795</v>
      </c>
      <c r="E25" s="63">
        <f>PI()*(E22*10^-3)*E23*10^-3*E24</f>
        <v>4.733688978576029</v>
      </c>
      <c r="F25" s="63">
        <f>PI()*(F22*10^-3)*F23*10^-3*F24</f>
        <v>8.176371872085868</v>
      </c>
      <c r="I25" s="63">
        <f>PI()*(I22*10^-3)*I23*10^-3*I24</f>
        <v>1.7213414467549197</v>
      </c>
    </row>
    <row r="26" spans="3:16" s="20" customFormat="1">
      <c r="C26" s="71" t="s">
        <v>138</v>
      </c>
      <c r="D26" s="63">
        <f>D12/(D25)/3600</f>
        <v>6.648509383557874E-2</v>
      </c>
      <c r="E26" s="63">
        <f>E12/(E25)/3600</f>
        <v>7.2529193275176804E-2</v>
      </c>
      <c r="F26" s="63">
        <f>F12/(F25)/3600</f>
        <v>6.2985878370548282E-2</v>
      </c>
      <c r="G26" s="66" t="s">
        <v>201</v>
      </c>
      <c r="H26"/>
      <c r="I26" s="63">
        <f>I12/(I25)/3600</f>
        <v>0.18734781263757999</v>
      </c>
      <c r="J26" s="66" t="s">
        <v>139</v>
      </c>
    </row>
    <row r="27" spans="3:16">
      <c r="C27" s="71" t="s">
        <v>135</v>
      </c>
      <c r="D27" s="43">
        <v>387</v>
      </c>
      <c r="E27" s="43">
        <v>550</v>
      </c>
      <c r="F27" s="43">
        <v>650</v>
      </c>
      <c r="I27" s="57">
        <v>400</v>
      </c>
      <c r="J27" s="20"/>
      <c r="L27" s="20"/>
      <c r="M27" s="20"/>
      <c r="O27" s="40" t="s">
        <v>143</v>
      </c>
      <c r="P27" s="67" t="s">
        <v>144</v>
      </c>
    </row>
    <row r="28" spans="3:16">
      <c r="C28" s="71" t="s">
        <v>140</v>
      </c>
      <c r="D28" s="63">
        <f>(PI()*(D27*10^-3)^2/4)-D24*(PI()*(D22*10^-3)^2/4)</f>
        <v>4.1287596051640479E-2</v>
      </c>
      <c r="E28" s="63">
        <f>(PI()*(E27*10^-3)^2/4)-E24*(PI()*(E22*10^-3)^2/4)</f>
        <v>9.7624991710302866E-2</v>
      </c>
      <c r="F28" s="63">
        <f>(PI()*(F27*10^-3)^2/4)-F24*(PI()*(F22*10^-3)^2/4)</f>
        <v>9.0085169341687338E-2</v>
      </c>
      <c r="I28" s="63">
        <f>(PI()*(I27*10^-3)^2/4)-I24*(PI()*(I22*10^-3)^2/4)</f>
        <v>7.4769905155437091E-2</v>
      </c>
      <c r="L28" s="20"/>
      <c r="M28" s="20"/>
      <c r="O28" s="68" t="s">
        <v>145</v>
      </c>
      <c r="P28" s="41">
        <v>60</v>
      </c>
    </row>
    <row r="29" spans="3:16">
      <c r="C29" s="71" t="s">
        <v>141</v>
      </c>
      <c r="D29" s="63">
        <f>D12/D28/3600</f>
        <v>4.1577940551720927</v>
      </c>
      <c r="E29" s="63">
        <f>E12/E28/3600</f>
        <v>3.5168314671977754</v>
      </c>
      <c r="F29" s="63">
        <f>F12/F28/3600</f>
        <v>5.7167674547430289</v>
      </c>
      <c r="G29" s="66" t="s">
        <v>142</v>
      </c>
      <c r="I29" s="63">
        <f>I12/I28/3600</f>
        <v>4.3130930042177651</v>
      </c>
      <c r="J29"/>
      <c r="L29" s="20"/>
      <c r="M29" s="20"/>
      <c r="O29" s="68" t="s">
        <v>146</v>
      </c>
      <c r="P29" s="41">
        <v>9.56</v>
      </c>
    </row>
    <row r="30" spans="3:16">
      <c r="L30" s="20"/>
      <c r="M30" s="20"/>
      <c r="O30" s="68" t="s">
        <v>147</v>
      </c>
      <c r="P30" s="41">
        <v>0.5</v>
      </c>
    </row>
    <row r="31" spans="3:16">
      <c r="C31" s="70" t="s">
        <v>149</v>
      </c>
      <c r="D31" s="77">
        <f>$P$31*D11*D26^2</f>
        <v>0.3878560774236664</v>
      </c>
      <c r="E31" s="77">
        <f>$P$31*E11*E26^2</f>
        <v>0.46158078635543764</v>
      </c>
      <c r="F31" s="77">
        <f>$P$31*F11*F26^2</f>
        <v>0.34810351547165636</v>
      </c>
      <c r="L31" s="20"/>
      <c r="M31" s="20"/>
      <c r="O31" s="68" t="s">
        <v>148</v>
      </c>
      <c r="P31" s="69">
        <f>P28/(P29*P30^2)</f>
        <v>25.10460251046025</v>
      </c>
    </row>
    <row r="37" spans="3:9">
      <c r="C37" s="2" t="s">
        <v>155</v>
      </c>
    </row>
    <row r="38" spans="3:9">
      <c r="G38" s="2" t="s">
        <v>132</v>
      </c>
      <c r="H38" s="2" t="s">
        <v>159</v>
      </c>
      <c r="I38" s="2" t="s">
        <v>160</v>
      </c>
    </row>
    <row r="39" spans="3:9">
      <c r="D39" s="2">
        <v>100</v>
      </c>
      <c r="E39" s="2" t="s">
        <v>156</v>
      </c>
    </row>
    <row r="40" spans="3:9">
      <c r="C40" s="2" t="s">
        <v>157</v>
      </c>
      <c r="D40" s="80">
        <v>0.999</v>
      </c>
      <c r="E40" s="2" t="s">
        <v>158</v>
      </c>
    </row>
    <row r="41" spans="3:9">
      <c r="D41" s="2">
        <f>D39*(1-D40)</f>
        <v>0.10000000000000009</v>
      </c>
      <c r="E41" s="2" t="s">
        <v>156</v>
      </c>
    </row>
    <row r="42" spans="3:9">
      <c r="C42" s="2" t="s">
        <v>157</v>
      </c>
      <c r="D42" s="80">
        <v>0.999</v>
      </c>
    </row>
    <row r="45" spans="3:9">
      <c r="D45" s="2">
        <v>20</v>
      </c>
      <c r="E45" s="2" t="s">
        <v>162</v>
      </c>
    </row>
    <row r="46" spans="3:9">
      <c r="D46" s="2">
        <v>0.5</v>
      </c>
      <c r="E46" s="2" t="s">
        <v>162</v>
      </c>
    </row>
    <row r="47" spans="3:9">
      <c r="D47" s="2">
        <f>D46/D45*100</f>
        <v>2.5</v>
      </c>
      <c r="E47" s="2" t="s">
        <v>158</v>
      </c>
    </row>
    <row r="48" spans="3:9">
      <c r="G48" s="2" t="s">
        <v>161</v>
      </c>
    </row>
  </sheetData>
  <dataValidations count="1">
    <dataValidation type="list" allowBlank="1" showInputMessage="1" showErrorMessage="1" sqref="D15:F15 I15">
      <formula1>Liste_DN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4"/>
  <dimension ref="C3:I29"/>
  <sheetViews>
    <sheetView topLeftCell="A4" zoomScale="70" zoomScaleNormal="70" workbookViewId="0">
      <selection activeCell="C15" sqref="C15"/>
    </sheetView>
  </sheetViews>
  <sheetFormatPr defaultColWidth="11.42578125" defaultRowHeight="15"/>
  <cols>
    <col min="1" max="16384" width="11.42578125" style="2"/>
  </cols>
  <sheetData>
    <row r="3" spans="3:9">
      <c r="C3" s="16" t="s">
        <v>227</v>
      </c>
    </row>
    <row r="6" spans="3:9">
      <c r="D6" s="2" t="s">
        <v>213</v>
      </c>
      <c r="E6" s="2" t="s">
        <v>223</v>
      </c>
      <c r="F6" s="2" t="s">
        <v>215</v>
      </c>
      <c r="G6" s="2" t="s">
        <v>224</v>
      </c>
      <c r="H6" s="2" t="s">
        <v>226</v>
      </c>
      <c r="I6" s="16" t="s">
        <v>228</v>
      </c>
    </row>
    <row r="7" spans="3:9">
      <c r="C7" s="2" t="s">
        <v>216</v>
      </c>
      <c r="D7" s="138">
        <v>592.20000000000005</v>
      </c>
      <c r="E7" s="138">
        <v>425</v>
      </c>
      <c r="F7" s="138">
        <v>588.70000000000005</v>
      </c>
      <c r="G7" s="138">
        <v>23.3</v>
      </c>
    </row>
    <row r="8" spans="3:9">
      <c r="C8" s="2" t="s">
        <v>219</v>
      </c>
      <c r="D8" s="138">
        <v>15.43</v>
      </c>
      <c r="E8" s="138">
        <v>13.5</v>
      </c>
      <c r="F8" s="138">
        <v>1.25</v>
      </c>
      <c r="G8" s="138">
        <v>0.45</v>
      </c>
    </row>
    <row r="9" spans="3:9">
      <c r="C9" s="2" t="s">
        <v>217</v>
      </c>
      <c r="D9" s="138">
        <v>306.39999999999998</v>
      </c>
      <c r="E9" s="138">
        <v>99.29</v>
      </c>
      <c r="F9" s="138">
        <v>78.180000000000007</v>
      </c>
      <c r="G9" s="138">
        <v>78.180000000000007</v>
      </c>
    </row>
    <row r="10" spans="3:9">
      <c r="C10" s="2" t="s">
        <v>221</v>
      </c>
      <c r="D10" s="139">
        <f>D8-D13/1000</f>
        <v>15.359</v>
      </c>
      <c r="E10" s="139">
        <f>E8-E13/1000</f>
        <v>13.483000000000001</v>
      </c>
      <c r="F10" s="139">
        <f>F8-F13/1000</f>
        <v>1.1339999999999999</v>
      </c>
      <c r="G10" s="139">
        <f>G8-G13/1000</f>
        <v>0.42699999999999999</v>
      </c>
    </row>
    <row r="11" spans="3:9">
      <c r="C11" s="2" t="s">
        <v>218</v>
      </c>
      <c r="D11" s="138">
        <v>87.75</v>
      </c>
      <c r="E11" s="138">
        <v>86.62</v>
      </c>
      <c r="F11" s="138">
        <v>298.38</v>
      </c>
      <c r="G11" s="138">
        <v>298.38</v>
      </c>
    </row>
    <row r="12" spans="3:9">
      <c r="C12" s="2" t="s">
        <v>220</v>
      </c>
      <c r="D12" s="2">
        <f>D9-D11</f>
        <v>218.64999999999998</v>
      </c>
      <c r="E12" s="2">
        <f>E9-E11</f>
        <v>12.670000000000002</v>
      </c>
      <c r="F12" s="2">
        <f>F9-F11</f>
        <v>-220.2</v>
      </c>
      <c r="G12" s="2">
        <f>G9-G11</f>
        <v>-220.2</v>
      </c>
    </row>
    <row r="13" spans="3:9">
      <c r="C13" s="2" t="s">
        <v>222</v>
      </c>
      <c r="D13" s="138">
        <v>71</v>
      </c>
      <c r="E13" s="138">
        <v>17</v>
      </c>
      <c r="F13" s="138">
        <v>116</v>
      </c>
      <c r="G13" s="138">
        <v>23</v>
      </c>
    </row>
    <row r="14" spans="3:9">
      <c r="C14" s="2" t="s">
        <v>225</v>
      </c>
      <c r="D14" s="2">
        <v>12</v>
      </c>
      <c r="E14" s="2">
        <v>11</v>
      </c>
      <c r="F14" s="2">
        <v>34</v>
      </c>
      <c r="G14" s="2">
        <v>6</v>
      </c>
      <c r="H14" s="2">
        <v>2</v>
      </c>
      <c r="I14" s="2">
        <f>SUM(D14:H14)</f>
        <v>65</v>
      </c>
    </row>
    <row r="16" spans="3:9">
      <c r="D16" s="14">
        <v>1</v>
      </c>
      <c r="E16" s="10">
        <v>2</v>
      </c>
      <c r="F16" s="10">
        <v>3</v>
      </c>
      <c r="G16" s="10"/>
    </row>
    <row r="17" spans="3:7">
      <c r="C17" s="2" t="s">
        <v>57</v>
      </c>
      <c r="D17" s="2">
        <v>1065</v>
      </c>
    </row>
    <row r="18" spans="3:7">
      <c r="C18" s="2" t="s">
        <v>58</v>
      </c>
      <c r="D18" s="2">
        <v>621</v>
      </c>
      <c r="G18" s="2" t="s">
        <v>59</v>
      </c>
    </row>
    <row r="19" spans="3:7">
      <c r="C19" s="2" t="s">
        <v>56</v>
      </c>
      <c r="D19" s="2">
        <v>3800</v>
      </c>
    </row>
    <row r="20" spans="3:7">
      <c r="C20" s="2" t="s">
        <v>64</v>
      </c>
      <c r="D20" s="2">
        <f>D19*D17*D18/(1000^3)</f>
        <v>2.5131869999999998</v>
      </c>
    </row>
    <row r="21" spans="3:7">
      <c r="C21" s="2" t="s">
        <v>60</v>
      </c>
      <c r="D21" s="17"/>
    </row>
    <row r="22" spans="3:7">
      <c r="C22" s="2" t="s">
        <v>62</v>
      </c>
      <c r="D22" s="17"/>
    </row>
    <row r="23" spans="3:7">
      <c r="C23" s="2" t="s">
        <v>61</v>
      </c>
      <c r="D23" s="17"/>
    </row>
    <row r="24" spans="3:7">
      <c r="D24" s="17"/>
    </row>
    <row r="25" spans="3:7">
      <c r="D25" s="17"/>
    </row>
    <row r="26" spans="3:7">
      <c r="D26" s="17"/>
    </row>
    <row r="27" spans="3:7">
      <c r="D27" s="17"/>
    </row>
    <row r="28" spans="3:7">
      <c r="D28" s="17"/>
    </row>
    <row r="29" spans="3:7">
      <c r="D29" s="17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C9:L18"/>
  <sheetViews>
    <sheetView topLeftCell="B17" zoomScale="130" zoomScaleNormal="130" workbookViewId="0">
      <selection activeCell="G38" sqref="G38"/>
    </sheetView>
  </sheetViews>
  <sheetFormatPr defaultColWidth="11.42578125" defaultRowHeight="15"/>
  <cols>
    <col min="1" max="2" width="11.42578125" style="2"/>
    <col min="3" max="3" width="17.28515625" style="2" customWidth="1"/>
    <col min="4" max="6" width="11.42578125" style="10"/>
    <col min="7" max="16384" width="11.42578125" style="2"/>
  </cols>
  <sheetData>
    <row r="9" spans="3:12">
      <c r="C9" s="85" t="s">
        <v>200</v>
      </c>
      <c r="D9" s="86"/>
      <c r="E9" s="86"/>
      <c r="F9" s="86"/>
      <c r="G9" s="86"/>
      <c r="H9" s="86"/>
    </row>
    <row r="10" spans="3:12">
      <c r="C10" s="88"/>
      <c r="D10" s="87"/>
      <c r="E10" s="87"/>
      <c r="F10" s="87"/>
      <c r="G10" s="87"/>
      <c r="H10" s="87"/>
    </row>
    <row r="11" spans="3:12">
      <c r="C11" s="88"/>
      <c r="D11" s="87"/>
      <c r="E11" s="87"/>
      <c r="F11" s="87"/>
      <c r="G11" s="87"/>
      <c r="H11" s="87"/>
    </row>
    <row r="12" spans="3:12">
      <c r="C12" s="88"/>
      <c r="D12" s="87"/>
      <c r="E12" s="87"/>
      <c r="F12" s="87"/>
      <c r="G12" s="87"/>
      <c r="H12" s="87"/>
    </row>
    <row r="13" spans="3:12">
      <c r="C13" s="88" t="s">
        <v>195</v>
      </c>
      <c r="D13" s="91">
        <v>120</v>
      </c>
      <c r="E13" s="91">
        <v>120</v>
      </c>
      <c r="F13" s="87"/>
      <c r="G13" s="87"/>
      <c r="H13" s="87"/>
    </row>
    <row r="14" spans="3:12" s="10" customFormat="1">
      <c r="C14" s="89" t="s">
        <v>196</v>
      </c>
      <c r="D14" s="90">
        <v>1000</v>
      </c>
      <c r="E14" s="90">
        <v>1000</v>
      </c>
      <c r="F14" s="87"/>
      <c r="G14" s="87"/>
      <c r="H14" s="87"/>
      <c r="I14" s="2"/>
      <c r="J14" s="2"/>
      <c r="K14" s="2"/>
      <c r="L14" s="2"/>
    </row>
    <row r="15" spans="3:12">
      <c r="C15" s="89" t="s">
        <v>197</v>
      </c>
      <c r="D15" s="90">
        <v>10</v>
      </c>
      <c r="E15" s="90">
        <v>10</v>
      </c>
      <c r="F15" s="87"/>
      <c r="G15" s="87"/>
      <c r="H15" s="87"/>
      <c r="I15"/>
    </row>
    <row r="16" spans="3:12">
      <c r="C16" s="89" t="s">
        <v>198</v>
      </c>
      <c r="D16" s="94">
        <v>12</v>
      </c>
      <c r="E16" s="93">
        <f>2.3*($E$13/E17)*LOG(E14/E15)</f>
        <v>9.1999999999999993</v>
      </c>
      <c r="F16" s="87"/>
      <c r="G16" s="87"/>
      <c r="H16" s="87"/>
    </row>
    <row r="17" spans="3:12" s="10" customFormat="1">
      <c r="C17" s="89" t="s">
        <v>199</v>
      </c>
      <c r="D17" s="92">
        <f>2.3*($D$13/D16)*LOG(D14/D15)</f>
        <v>46</v>
      </c>
      <c r="E17" s="95">
        <v>60</v>
      </c>
      <c r="F17" s="87"/>
      <c r="G17" s="87"/>
      <c r="H17" s="87"/>
      <c r="I17" s="2"/>
      <c r="J17" s="2"/>
      <c r="K17" s="2"/>
      <c r="L17" s="2"/>
    </row>
    <row r="18" spans="3:12" s="10" customFormat="1">
      <c r="D18" s="92"/>
      <c r="F18" s="87"/>
      <c r="G18" s="87"/>
      <c r="H18" s="87"/>
      <c r="I18" s="2"/>
      <c r="J18" s="2"/>
      <c r="K18" s="2"/>
      <c r="L18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Index</vt:lpstr>
      <vt:lpstr>Feuil1</vt:lpstr>
      <vt:lpstr>Com_need</vt:lpstr>
      <vt:lpstr>Produce_80K</vt:lpstr>
      <vt:lpstr>Remove Air </vt:lpstr>
      <vt:lpstr>Comp</vt:lpstr>
      <vt:lpstr>Coalescers</vt:lpstr>
      <vt:lpstr>HX</vt:lpstr>
      <vt:lpstr>Vacuum Group</vt:lpstr>
      <vt:lpstr>Sheet1</vt:lpstr>
      <vt:lpstr>Liste_DN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Bernhardt : ALFR-0064480-L</dc:creator>
  <cp:lastModifiedBy>Vincent Heloin : ALFR-0062659-L</cp:lastModifiedBy>
  <dcterms:created xsi:type="dcterms:W3CDTF">2015-04-13T14:59:05Z</dcterms:created>
  <dcterms:modified xsi:type="dcterms:W3CDTF">2015-06-23T10:05:50Z</dcterms:modified>
</cp:coreProperties>
</file>