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neDrive\Docs\Tech\00-Process\"/>
    </mc:Choice>
  </mc:AlternateContent>
  <bookViews>
    <workbookView xWindow="120" yWindow="0" windowWidth="7350" windowHeight="615"/>
  </bookViews>
  <sheets>
    <sheet name="Calc" sheetId="1" r:id="rId1"/>
    <sheet name="SNS" sheetId="6" r:id="rId2"/>
    <sheet name="Sheet5" sheetId="5" r:id="rId3"/>
    <sheet name="Sheet2" sheetId="2" r:id="rId4"/>
    <sheet name="Warm compressor" sheetId="3" r:id="rId5"/>
    <sheet name="Sheet4" sheetId="4" r:id="rId6"/>
    <sheet name="Sheet6" sheetId="7" r:id="rId7"/>
    <sheet name="Sheet1" sheetId="8" r:id="rId8"/>
  </sheets>
  <externalReferences>
    <externalReference r:id="rId9"/>
    <externalReference r:id="rId10"/>
    <externalReference r:id="rId11"/>
    <externalReference r:id="rId12"/>
  </externalReferences>
  <calcPr calcId="152511"/>
</workbook>
</file>

<file path=xl/calcChain.xml><?xml version="1.0" encoding="utf-8"?>
<calcChain xmlns="http://schemas.openxmlformats.org/spreadsheetml/2006/main">
  <c r="E110" i="1" l="1"/>
  <c r="D108" i="1"/>
  <c r="D96" i="1"/>
  <c r="F96" i="1"/>
  <c r="F95" i="1"/>
  <c r="D99" i="1"/>
  <c r="D95" i="1"/>
  <c r="D115" i="1"/>
  <c r="E116" i="1"/>
  <c r="D116" i="1"/>
  <c r="E105" i="1"/>
  <c r="D106" i="1"/>
  <c r="D107" i="1"/>
  <c r="D105" i="1"/>
  <c r="E106" i="1"/>
  <c r="E107" i="1"/>
  <c r="F116" i="1" l="1"/>
  <c r="H116" i="1" s="1"/>
  <c r="J116" i="1" s="1"/>
  <c r="E108" i="1"/>
  <c r="H29" i="8"/>
  <c r="G29" i="8"/>
  <c r="K16" i="8"/>
  <c r="K17" i="8"/>
  <c r="K18" i="8"/>
  <c r="K19" i="8"/>
  <c r="K20" i="8"/>
  <c r="K15" i="8"/>
  <c r="F24" i="8"/>
  <c r="F25" i="8"/>
  <c r="F26" i="8"/>
  <c r="F27" i="8" l="1"/>
  <c r="F29" i="8" s="1"/>
  <c r="I29" i="8" s="1"/>
  <c r="J29" i="8" s="1"/>
  <c r="P76" i="1" l="1"/>
  <c r="K76" i="1"/>
  <c r="K7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F31" i="1"/>
  <c r="E31" i="1"/>
  <c r="D31" i="1"/>
  <c r="P3" i="1"/>
  <c r="K12" i="1"/>
  <c r="K3" i="1"/>
  <c r="P7" i="1" l="1"/>
  <c r="P4" i="1"/>
  <c r="K4" i="1"/>
  <c r="K13" i="1"/>
  <c r="J3" i="1"/>
  <c r="I7" i="1"/>
  <c r="F7" i="1"/>
  <c r="E7" i="1"/>
  <c r="D7" i="1"/>
  <c r="P12" i="1"/>
  <c r="I12" i="1"/>
  <c r="I3" i="1"/>
  <c r="G8" i="3"/>
  <c r="H8" i="3"/>
  <c r="I8" i="3"/>
  <c r="J8" i="3"/>
  <c r="K8" i="3"/>
  <c r="L8" i="3"/>
  <c r="M8" i="3"/>
  <c r="F8" i="3"/>
  <c r="N27" i="5"/>
  <c r="P13" i="1" l="1"/>
  <c r="P63" i="1"/>
  <c r="P50" i="1"/>
  <c r="P37" i="1"/>
  <c r="P19" i="1"/>
  <c r="P25" i="1" s="1"/>
  <c r="P18" i="1"/>
  <c r="K63" i="1"/>
  <c r="K50" i="1"/>
  <c r="K37" i="1"/>
  <c r="K19" i="1"/>
  <c r="K25" i="1" s="1"/>
  <c r="K18" i="1"/>
  <c r="H12" i="1"/>
  <c r="I4" i="1"/>
  <c r="I13" i="1"/>
  <c r="M12" i="1"/>
  <c r="J13" i="1"/>
  <c r="I63" i="1"/>
  <c r="I50" i="1"/>
  <c r="I19" i="1"/>
  <c r="I18" i="1"/>
  <c r="K5" i="6"/>
  <c r="J5" i="6"/>
  <c r="I5" i="6"/>
  <c r="H5" i="6"/>
  <c r="D80" i="6"/>
  <c r="D13" i="6"/>
  <c r="D7" i="6"/>
  <c r="D20" i="6" s="1"/>
  <c r="N28" i="5"/>
  <c r="O22" i="5"/>
  <c r="P22" i="5"/>
  <c r="N22" i="5"/>
  <c r="AB34" i="5"/>
  <c r="AA34" i="5"/>
  <c r="AB33" i="5"/>
  <c r="AA33" i="5"/>
  <c r="AB32" i="5"/>
  <c r="AA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D11" i="6"/>
  <c r="D9" i="6"/>
  <c r="P16" i="1"/>
  <c r="P15" i="1"/>
  <c r="P14" i="1"/>
  <c r="K16" i="1"/>
  <c r="K15" i="1"/>
  <c r="K14" i="1"/>
  <c r="I14" i="1"/>
  <c r="I15" i="1"/>
  <c r="I16" i="1"/>
  <c r="P17" i="1" l="1"/>
  <c r="L16" i="1"/>
  <c r="K17" i="1"/>
  <c r="I37" i="1"/>
  <c r="I17" i="1"/>
  <c r="D12" i="6"/>
  <c r="D33" i="6"/>
  <c r="G12" i="3"/>
  <c r="H12" i="3"/>
  <c r="I12" i="3"/>
  <c r="J12" i="3"/>
  <c r="K12" i="3"/>
  <c r="L12" i="3"/>
  <c r="M12" i="3"/>
  <c r="F12" i="3"/>
  <c r="D10" i="6"/>
  <c r="D16" i="6"/>
  <c r="P21" i="1"/>
  <c r="K21" i="1"/>
  <c r="L17" i="1" l="1"/>
  <c r="P22" i="1"/>
  <c r="K22" i="1"/>
  <c r="D17" i="6"/>
  <c r="D46" i="6"/>
  <c r="G7" i="3"/>
  <c r="H7" i="3"/>
  <c r="I7" i="3"/>
  <c r="J7" i="3"/>
  <c r="K7" i="3"/>
  <c r="L7" i="3"/>
  <c r="M7" i="3"/>
  <c r="F7" i="3"/>
  <c r="O8" i="5"/>
  <c r="P8" i="5"/>
  <c r="P4" i="5"/>
  <c r="P9" i="5"/>
  <c r="O4" i="5"/>
  <c r="O9" i="5"/>
  <c r="N8" i="5"/>
  <c r="O14" i="5"/>
  <c r="P14" i="5"/>
  <c r="N14" i="5"/>
  <c r="O12" i="5"/>
  <c r="P12" i="5"/>
  <c r="O13" i="5"/>
  <c r="P13" i="5"/>
  <c r="N13" i="5"/>
  <c r="N12" i="5"/>
  <c r="P24" i="1" l="1"/>
  <c r="P23" i="1"/>
  <c r="P33" i="1" s="1"/>
  <c r="K24" i="1"/>
  <c r="K23" i="1"/>
  <c r="K33" i="1" s="1"/>
  <c r="F5" i="3"/>
  <c r="F11" i="3" s="1"/>
  <c r="M5" i="3"/>
  <c r="M11" i="3" s="1"/>
  <c r="L5" i="3"/>
  <c r="L11" i="3" s="1"/>
  <c r="K5" i="3"/>
  <c r="K11" i="3" s="1"/>
  <c r="J5" i="3"/>
  <c r="J11" i="3" s="1"/>
  <c r="I5" i="3"/>
  <c r="I11" i="3" s="1"/>
  <c r="H5" i="3"/>
  <c r="H11" i="3" s="1"/>
  <c r="G5" i="3"/>
  <c r="G11" i="3" s="1"/>
  <c r="D59" i="6"/>
  <c r="D18" i="6"/>
  <c r="D23" i="6" s="1"/>
  <c r="D19" i="6"/>
  <c r="N15" i="5"/>
  <c r="N23" i="5" s="1"/>
  <c r="O15" i="5"/>
  <c r="O23" i="5" s="1"/>
  <c r="P15" i="5"/>
  <c r="P23" i="5" s="1"/>
  <c r="W31" i="2"/>
  <c r="X31" i="2"/>
  <c r="S40" i="2"/>
  <c r="T40" i="2" s="1"/>
  <c r="S38" i="2"/>
  <c r="T38" i="2" s="1"/>
  <c r="S36" i="2"/>
  <c r="T36" i="2" s="1"/>
  <c r="S34" i="2"/>
  <c r="T34" i="2" s="1"/>
  <c r="S32" i="2"/>
  <c r="T32" i="2" s="1"/>
  <c r="S30" i="2"/>
  <c r="T30" i="2" s="1"/>
  <c r="P25" i="2"/>
  <c r="P24" i="2"/>
  <c r="P26" i="2" s="1"/>
  <c r="Q26" i="2" s="1"/>
  <c r="D21" i="6"/>
  <c r="D24" i="6"/>
  <c r="D22" i="6"/>
  <c r="D29" i="6" s="1"/>
  <c r="N17" i="5"/>
  <c r="P17" i="5"/>
  <c r="O17" i="5"/>
  <c r="P26" i="1"/>
  <c r="K26" i="1"/>
  <c r="F38" i="4"/>
  <c r="F40" i="4"/>
  <c r="D38" i="4"/>
  <c r="E40" i="4"/>
  <c r="D40" i="4"/>
  <c r="F39" i="4"/>
  <c r="D39" i="4"/>
  <c r="J16" i="2"/>
  <c r="I19" i="2"/>
  <c r="I17" i="2"/>
  <c r="J19" i="2"/>
  <c r="L19" i="2"/>
  <c r="L18" i="2"/>
  <c r="I18" i="2"/>
  <c r="J17" i="2"/>
  <c r="C38" i="4"/>
  <c r="E38" i="4"/>
  <c r="C40" i="4"/>
  <c r="E39" i="4"/>
  <c r="C39" i="4"/>
  <c r="L16" i="2"/>
  <c r="K18" i="2"/>
  <c r="K17" i="2"/>
  <c r="I16" i="2"/>
  <c r="L17" i="2"/>
  <c r="K16" i="2"/>
  <c r="J18" i="2"/>
  <c r="K19" i="2"/>
  <c r="K30" i="1"/>
  <c r="P30" i="1"/>
  <c r="O18" i="5" l="1"/>
  <c r="O19" i="5" s="1"/>
  <c r="O20" i="5" s="1"/>
  <c r="P18" i="5"/>
  <c r="P19" i="5" s="1"/>
  <c r="P20" i="5" s="1"/>
  <c r="P31" i="1"/>
  <c r="P36" i="1"/>
  <c r="K31" i="1"/>
  <c r="K36" i="1"/>
  <c r="D30" i="6"/>
  <c r="D25" i="6"/>
  <c r="D26" i="6"/>
  <c r="D72" i="6"/>
  <c r="N18" i="5"/>
  <c r="N19" i="5" s="1"/>
  <c r="N20" i="5" s="1"/>
  <c r="W32" i="2"/>
  <c r="X32" i="2" s="1"/>
  <c r="D90" i="1"/>
  <c r="F13" i="1"/>
  <c r="E13" i="1"/>
  <c r="F18" i="1"/>
  <c r="E18" i="1"/>
  <c r="D13" i="1"/>
  <c r="F14" i="1"/>
  <c r="F15" i="1"/>
  <c r="F16" i="1"/>
  <c r="E14" i="1"/>
  <c r="E15" i="1"/>
  <c r="E16" i="1"/>
  <c r="D14" i="1"/>
  <c r="D15" i="1"/>
  <c r="D16" i="1"/>
  <c r="P43" i="1" l="1"/>
  <c r="K43" i="1"/>
  <c r="D32" i="6"/>
  <c r="D31" i="6"/>
  <c r="D36" i="6" s="1"/>
  <c r="D17" i="1"/>
  <c r="F17" i="1"/>
  <c r="E17" i="1"/>
  <c r="D25" i="1"/>
  <c r="F25" i="1"/>
  <c r="E25" i="1"/>
  <c r="D18" i="1"/>
  <c r="D34" i="6"/>
  <c r="D37" i="6"/>
  <c r="D35" i="6"/>
  <c r="D42" i="6" s="1"/>
  <c r="P34" i="1"/>
  <c r="P32" i="1"/>
  <c r="K34" i="1"/>
  <c r="K32" i="1"/>
  <c r="D21" i="1"/>
  <c r="F21" i="1"/>
  <c r="E21" i="1"/>
  <c r="P35" i="1" l="1"/>
  <c r="P56" i="1"/>
  <c r="K35" i="1"/>
  <c r="K56" i="1"/>
  <c r="E22" i="1"/>
  <c r="E23" i="1" s="1"/>
  <c r="F22" i="1"/>
  <c r="F23" i="1" s="1"/>
  <c r="D43" i="6"/>
  <c r="D38" i="6"/>
  <c r="D39" i="6"/>
  <c r="D43" i="1"/>
  <c r="D56" i="1" s="1"/>
  <c r="D69" i="1" s="1"/>
  <c r="D82" i="1" s="1"/>
  <c r="F43" i="1"/>
  <c r="E43" i="1"/>
  <c r="P39" i="1"/>
  <c r="K39" i="1"/>
  <c r="P40" i="1" l="1"/>
  <c r="K40" i="1"/>
  <c r="D44" i="6"/>
  <c r="D49" i="6" s="1"/>
  <c r="D45" i="6"/>
  <c r="E24" i="1"/>
  <c r="E33" i="1"/>
  <c r="F24" i="1"/>
  <c r="F33" i="1"/>
  <c r="D22" i="1"/>
  <c r="F56" i="1"/>
  <c r="E56" i="1"/>
  <c r="D47" i="6"/>
  <c r="D48" i="6"/>
  <c r="D55" i="6" s="1"/>
  <c r="D50" i="6"/>
  <c r="E26" i="1"/>
  <c r="F26" i="1"/>
  <c r="E32" i="1"/>
  <c r="E34" i="1"/>
  <c r="F32" i="1"/>
  <c r="F34" i="1"/>
  <c r="P42" i="1" l="1"/>
  <c r="P41" i="1"/>
  <c r="P46" i="1" s="1"/>
  <c r="K42" i="1"/>
  <c r="K41" i="1"/>
  <c r="K46" i="1" s="1"/>
  <c r="F36" i="1"/>
  <c r="E36" i="1"/>
  <c r="D51" i="6"/>
  <c r="D56" i="6"/>
  <c r="D52" i="6"/>
  <c r="D24" i="1"/>
  <c r="D23" i="1"/>
  <c r="D33" i="1" s="1"/>
  <c r="F69" i="1"/>
  <c r="E69" i="1"/>
  <c r="F39" i="1"/>
  <c r="E39" i="1"/>
  <c r="P44" i="1"/>
  <c r="K44" i="1"/>
  <c r="D26" i="1"/>
  <c r="D32" i="1"/>
  <c r="D34" i="1"/>
  <c r="K45" i="1"/>
  <c r="K47" i="1"/>
  <c r="P45" i="1"/>
  <c r="P47" i="1"/>
  <c r="E40" i="1" l="1"/>
  <c r="E41" i="1" s="1"/>
  <c r="F40" i="1"/>
  <c r="F41" i="1" s="1"/>
  <c r="P48" i="1"/>
  <c r="P49" i="1"/>
  <c r="K48" i="1"/>
  <c r="K49" i="1"/>
  <c r="D58" i="6"/>
  <c r="D57" i="6"/>
  <c r="D35" i="1"/>
  <c r="G35" i="1" s="1"/>
  <c r="E35" i="1"/>
  <c r="F35" i="1"/>
  <c r="D36" i="1"/>
  <c r="F82" i="1"/>
  <c r="E82" i="1"/>
  <c r="P52" i="1"/>
  <c r="K52" i="1"/>
  <c r="D39" i="1"/>
  <c r="K53" i="1" l="1"/>
  <c r="P53" i="1"/>
  <c r="P55" i="1"/>
  <c r="P54" i="1"/>
  <c r="P59" i="1" s="1"/>
  <c r="K55" i="1"/>
  <c r="K54" i="1"/>
  <c r="K59" i="1" s="1"/>
  <c r="D62" i="6"/>
  <c r="D40" i="1"/>
  <c r="E42" i="1"/>
  <c r="F42" i="1"/>
  <c r="D60" i="6"/>
  <c r="D63" i="6"/>
  <c r="D61" i="6"/>
  <c r="D68" i="6" s="1"/>
  <c r="P57" i="1"/>
  <c r="K57" i="1"/>
  <c r="K58" i="1"/>
  <c r="K60" i="1"/>
  <c r="P58" i="1"/>
  <c r="P60" i="1"/>
  <c r="P61" i="1" l="1"/>
  <c r="P62" i="1"/>
  <c r="K61" i="1"/>
  <c r="K62" i="1"/>
  <c r="D41" i="1"/>
  <c r="D42" i="1"/>
  <c r="D69" i="6"/>
  <c r="D64" i="6"/>
  <c r="D65" i="6"/>
  <c r="D46" i="1"/>
  <c r="P65" i="1"/>
  <c r="K65" i="1"/>
  <c r="D44" i="1"/>
  <c r="D45" i="1"/>
  <c r="D47" i="1"/>
  <c r="K66" i="1" l="1"/>
  <c r="P66" i="1"/>
  <c r="P68" i="1"/>
  <c r="P67" i="1"/>
  <c r="K68" i="1"/>
  <c r="K67" i="1"/>
  <c r="D70" i="6"/>
  <c r="D75" i="6" s="1"/>
  <c r="D71" i="6"/>
  <c r="F46" i="1"/>
  <c r="E46" i="1"/>
  <c r="D48" i="1"/>
  <c r="G48" i="1" s="1"/>
  <c r="D49" i="1"/>
  <c r="D73" i="6"/>
  <c r="D74" i="6"/>
  <c r="D76" i="6"/>
  <c r="D52" i="1"/>
  <c r="F44" i="1"/>
  <c r="E44" i="1"/>
  <c r="F45" i="1"/>
  <c r="F47" i="1"/>
  <c r="E45" i="1"/>
  <c r="E47" i="1"/>
  <c r="D53" i="1" l="1"/>
  <c r="P72" i="1"/>
  <c r="K72" i="1"/>
  <c r="D54" i="1"/>
  <c r="D59" i="1" s="1"/>
  <c r="D55" i="1"/>
  <c r="D77" i="6"/>
  <c r="E48" i="1"/>
  <c r="F48" i="1"/>
  <c r="E49" i="1"/>
  <c r="F49" i="1"/>
  <c r="E52" i="1"/>
  <c r="F52" i="1"/>
  <c r="P70" i="1"/>
  <c r="K70" i="1"/>
  <c r="D57" i="1"/>
  <c r="D58" i="1"/>
  <c r="D60" i="1"/>
  <c r="K71" i="1"/>
  <c r="K73" i="1"/>
  <c r="P71" i="1"/>
  <c r="P73" i="1"/>
  <c r="F53" i="1" l="1"/>
  <c r="E53" i="1"/>
  <c r="P74" i="1"/>
  <c r="P75" i="1"/>
  <c r="K74" i="1"/>
  <c r="K75" i="1"/>
  <c r="D61" i="1"/>
  <c r="G61" i="1" s="1"/>
  <c r="D62" i="1"/>
  <c r="E54" i="1"/>
  <c r="E59" i="1" s="1"/>
  <c r="E55" i="1"/>
  <c r="F54" i="1"/>
  <c r="F59" i="1" s="1"/>
  <c r="F55" i="1"/>
  <c r="P78" i="1"/>
  <c r="K78" i="1"/>
  <c r="D65" i="1"/>
  <c r="E57" i="1"/>
  <c r="F57" i="1"/>
  <c r="E58" i="1"/>
  <c r="E60" i="1"/>
  <c r="F58" i="1"/>
  <c r="F60" i="1"/>
  <c r="D66" i="1" l="1"/>
  <c r="K79" i="1"/>
  <c r="P79" i="1"/>
  <c r="P81" i="1"/>
  <c r="P80" i="1"/>
  <c r="P85" i="1" s="1"/>
  <c r="K81" i="1"/>
  <c r="K80" i="1"/>
  <c r="K85" i="1" s="1"/>
  <c r="D67" i="1"/>
  <c r="D72" i="1" s="1"/>
  <c r="D68" i="1"/>
  <c r="F61" i="1"/>
  <c r="E61" i="1"/>
  <c r="F62" i="1"/>
  <c r="E62" i="1"/>
  <c r="F65" i="1"/>
  <c r="E65" i="1"/>
  <c r="P83" i="1"/>
  <c r="K83" i="1"/>
  <c r="D70" i="1"/>
  <c r="D71" i="1"/>
  <c r="D73" i="1"/>
  <c r="K84" i="1"/>
  <c r="K86" i="1"/>
  <c r="P84" i="1"/>
  <c r="P86" i="1"/>
  <c r="E66" i="1" l="1"/>
  <c r="F66" i="1"/>
  <c r="P87" i="1"/>
  <c r="K87" i="1"/>
  <c r="D74" i="1"/>
  <c r="G74" i="1" s="1"/>
  <c r="D75" i="1"/>
  <c r="E67" i="1"/>
  <c r="E72" i="1" s="1"/>
  <c r="E68" i="1"/>
  <c r="F67" i="1"/>
  <c r="F72" i="1" s="1"/>
  <c r="F68" i="1"/>
  <c r="D78" i="1"/>
  <c r="E70" i="1"/>
  <c r="F70" i="1"/>
  <c r="E71" i="1"/>
  <c r="E73" i="1"/>
  <c r="F71" i="1"/>
  <c r="F73" i="1"/>
  <c r="D79" i="1" l="1"/>
  <c r="D80" i="1"/>
  <c r="D85" i="1" s="1"/>
  <c r="D81" i="1"/>
  <c r="F74" i="1"/>
  <c r="E74" i="1"/>
  <c r="F75" i="1"/>
  <c r="E75" i="1"/>
  <c r="F78" i="1"/>
  <c r="E78" i="1"/>
  <c r="D83" i="1"/>
  <c r="D84" i="1"/>
  <c r="D86" i="1"/>
  <c r="E79" i="1" l="1"/>
  <c r="F79" i="1"/>
  <c r="D87" i="1"/>
  <c r="E80" i="1"/>
  <c r="E85" i="1" s="1"/>
  <c r="E81" i="1"/>
  <c r="F80" i="1"/>
  <c r="F85" i="1" s="1"/>
  <c r="F81" i="1"/>
  <c r="E83" i="1"/>
  <c r="F83" i="1"/>
  <c r="E84" i="1"/>
  <c r="E86" i="1"/>
  <c r="F84" i="1"/>
  <c r="F86" i="1"/>
  <c r="F87" i="1" l="1"/>
  <c r="E87" i="1"/>
  <c r="I76" i="1"/>
  <c r="I25" i="1"/>
  <c r="I21" i="1"/>
  <c r="I22" i="1" l="1"/>
  <c r="I24" i="1" l="1"/>
  <c r="I23" i="1"/>
  <c r="I33" i="1" s="1"/>
  <c r="I26" i="1"/>
  <c r="I30" i="1"/>
  <c r="M30" i="1" l="1"/>
  <c r="I31" i="1"/>
  <c r="I34" i="1"/>
  <c r="I32" i="1"/>
  <c r="I35" i="1" l="1"/>
  <c r="I43" i="1"/>
  <c r="I36" i="1"/>
  <c r="J31" i="1"/>
  <c r="I39" i="1"/>
  <c r="I40" i="1" l="1"/>
  <c r="I56" i="1"/>
  <c r="I42" i="1" l="1"/>
  <c r="I41" i="1"/>
  <c r="I46" i="1" s="1"/>
  <c r="I44" i="1"/>
  <c r="I47" i="1"/>
  <c r="I45" i="1"/>
  <c r="I48" i="1" l="1"/>
  <c r="I49" i="1"/>
  <c r="I52" i="1"/>
  <c r="I53" i="1" l="1"/>
  <c r="I55" i="1"/>
  <c r="I54" i="1"/>
  <c r="I59" i="1" s="1"/>
  <c r="I57" i="1"/>
  <c r="I60" i="1"/>
  <c r="I58" i="1"/>
  <c r="I61" i="1" l="1"/>
  <c r="I62" i="1"/>
  <c r="I65" i="1"/>
  <c r="I66" i="1" l="1"/>
  <c r="I68" i="1"/>
  <c r="I67" i="1"/>
  <c r="I72" i="1" s="1"/>
  <c r="I70" i="1"/>
  <c r="I73" i="1"/>
  <c r="I71" i="1"/>
  <c r="I74" i="1" l="1"/>
  <c r="I75" i="1"/>
  <c r="I78" i="1"/>
  <c r="I79" i="1" l="1"/>
  <c r="I81" i="1" l="1"/>
  <c r="I80" i="1"/>
  <c r="I85" i="1" s="1"/>
  <c r="I83" i="1"/>
  <c r="I84" i="1"/>
  <c r="I86" i="1"/>
  <c r="I87" i="1" l="1"/>
</calcChain>
</file>

<file path=xl/sharedStrings.xml><?xml version="1.0" encoding="utf-8"?>
<sst xmlns="http://schemas.openxmlformats.org/spreadsheetml/2006/main" count="306" uniqueCount="95">
  <si>
    <t>P [Bar]</t>
  </si>
  <si>
    <t>T [K]</t>
  </si>
  <si>
    <t>m [g/s]</t>
  </si>
  <si>
    <t>DHactual</t>
  </si>
  <si>
    <t>n [%]</t>
  </si>
  <si>
    <t>DHideal</t>
  </si>
  <si>
    <t>H_ideal_out</t>
  </si>
  <si>
    <t>S [J/kg K]</t>
  </si>
  <si>
    <t>H [J/kg]</t>
  </si>
  <si>
    <t>rho</t>
  </si>
  <si>
    <t>mT^0.5/P0</t>
  </si>
  <si>
    <t>Qv m3/h</t>
  </si>
  <si>
    <t>Pr</t>
  </si>
  <si>
    <t>Max</t>
  </si>
  <si>
    <t>Nom</t>
  </si>
  <si>
    <t>Min</t>
  </si>
  <si>
    <t>mbar</t>
  </si>
  <si>
    <r>
      <t xml:space="preserve">A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</si>
  <si>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A </t>
    </r>
    <r>
      <rPr>
        <b/>
        <vertAlign val="subscript"/>
        <sz val="10"/>
        <color rgb="FF000000"/>
        <rFont val="Calibri"/>
        <family val="2"/>
      </rPr>
      <t>out</t>
    </r>
  </si>
  <si>
    <r>
      <t xml:space="preserve">B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</si>
  <si>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B </t>
    </r>
    <r>
      <rPr>
        <b/>
        <vertAlign val="subscript"/>
        <sz val="10"/>
        <color rgb="FF000000"/>
        <rFont val="Calibri"/>
        <family val="2"/>
      </rPr>
      <t>out</t>
    </r>
  </si>
  <si>
    <r>
      <t xml:space="preserve">C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</si>
  <si>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C </t>
    </r>
    <r>
      <rPr>
        <b/>
        <vertAlign val="subscript"/>
        <sz val="10"/>
        <color rgb="FF000000"/>
        <rFont val="Calibri"/>
        <family val="2"/>
      </rPr>
      <t>out</t>
    </r>
  </si>
  <si>
    <r>
      <t xml:space="preserve">D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</si>
  <si>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D </t>
    </r>
    <r>
      <rPr>
        <b/>
        <vertAlign val="subscript"/>
        <sz val="10"/>
        <color rgb="FF000000"/>
        <rFont val="Calibri"/>
        <family val="2"/>
      </rPr>
      <t>out</t>
    </r>
  </si>
  <si>
    <r>
      <t xml:space="preserve">E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</si>
  <si>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E </t>
    </r>
    <r>
      <rPr>
        <b/>
        <vertAlign val="subscript"/>
        <sz val="10"/>
        <color rgb="FF000000"/>
        <rFont val="Calibri"/>
        <family val="2"/>
      </rPr>
      <t>out</t>
    </r>
  </si>
  <si>
    <r>
      <t xml:space="preserve">F </t>
    </r>
    <r>
      <rPr>
        <b/>
        <vertAlign val="subscript"/>
        <sz val="10"/>
        <color rgb="FF000000"/>
        <rFont val="Calibri"/>
        <family val="2"/>
      </rPr>
      <t>in</t>
    </r>
  </si>
  <si>
    <r>
      <t xml:space="preserve">F </t>
    </r>
    <r>
      <rPr>
        <b/>
        <vertAlign val="subscript"/>
        <sz val="10"/>
        <color rgb="FF000000"/>
        <rFont val="Calibri"/>
        <family val="2"/>
      </rPr>
      <t>out</t>
    </r>
  </si>
  <si>
    <t>mix</t>
  </si>
  <si>
    <t>m</t>
  </si>
  <si>
    <t>Pin</t>
  </si>
  <si>
    <t>Tin</t>
  </si>
  <si>
    <t>Pout</t>
  </si>
  <si>
    <t>speed</t>
  </si>
  <si>
    <t>Hz</t>
  </si>
  <si>
    <t>K</t>
  </si>
  <si>
    <t>g/s</t>
  </si>
  <si>
    <t>Xi</t>
  </si>
  <si>
    <t>Ni</t>
  </si>
  <si>
    <t>Peff = Qv.ρ.g.Hmt = Qv.DP</t>
  </si>
  <si>
    <t>Ou Peff est en Watts si Qv en m3/s; Pa est la pression en aspiration de la pompe en Pascal; Pr la pression au refoulement en Pascal; Et Qv le débits volumique en m3/s</t>
  </si>
  <si>
    <t>Power [W]</t>
  </si>
  <si>
    <t>Qvm3/h</t>
  </si>
  <si>
    <t>Power (W)</t>
  </si>
  <si>
    <t>Din</t>
  </si>
  <si>
    <t>inlet speed</t>
  </si>
  <si>
    <t xml:space="preserve">Pout </t>
  </si>
  <si>
    <t>Q</t>
  </si>
  <si>
    <t>m3/h</t>
  </si>
  <si>
    <t>bar abs</t>
  </si>
  <si>
    <t>g/L</t>
  </si>
  <si>
    <t>Isothermal Power m.R.T.ln(P2/P1)</t>
  </si>
  <si>
    <t>Isothermal Power P.Qv.ln(P2/P1)</t>
  </si>
  <si>
    <t>Overview of screw compressor characteristic.</t>
  </si>
  <si>
    <t>1/8"</t>
  </si>
  <si>
    <t>1/4"</t>
  </si>
  <si>
    <t>3/8"</t>
  </si>
  <si>
    <t>1/2"</t>
  </si>
  <si>
    <t>3/4"</t>
  </si>
  <si>
    <t>1"</t>
  </si>
  <si>
    <t>1"1/4</t>
  </si>
  <si>
    <t>1"1/2</t>
  </si>
  <si>
    <t>2"</t>
  </si>
  <si>
    <t>2"1/2</t>
  </si>
  <si>
    <t>3"</t>
  </si>
  <si>
    <t>4"</t>
  </si>
  <si>
    <t>5"</t>
  </si>
  <si>
    <t>6"</t>
  </si>
  <si>
    <t>8"</t>
  </si>
  <si>
    <t>10"</t>
  </si>
  <si>
    <t>12"</t>
  </si>
  <si>
    <t>14"</t>
  </si>
  <si>
    <t>DHReal</t>
  </si>
  <si>
    <t>FRIB Max</t>
  </si>
  <si>
    <t>of Max</t>
  </si>
  <si>
    <t>dP admi</t>
  </si>
  <si>
    <t>L</t>
  </si>
  <si>
    <t>DN</t>
  </si>
  <si>
    <t>T</t>
  </si>
  <si>
    <t>P-sat</t>
  </si>
  <si>
    <t>P @ CC [Bar]</t>
  </si>
  <si>
    <t>Elbow</t>
  </si>
  <si>
    <t>P</t>
  </si>
  <si>
    <t>hvap</t>
  </si>
  <si>
    <t>j/g</t>
  </si>
  <si>
    <t>Load W</t>
  </si>
  <si>
    <t>W</t>
  </si>
  <si>
    <t>H-gas</t>
  </si>
  <si>
    <t>H-liq</t>
  </si>
  <si>
    <t>J/g</t>
  </si>
  <si>
    <t>Hvap J/g</t>
  </si>
  <si>
    <t>J/s</t>
  </si>
  <si>
    <t>H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</si>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</sst>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0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indexed="64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Border="1"/>
    <xf numFmtId="0" fontId="2" fillId="3" borderId="0" xfId="0" applyFont="1" applyFill="1" applyBorder="1"/>
    <xf numFmtId="2" fontId="3" fillId="3" borderId="0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/>
    <xf numFmtId="0" fontId="2" fillId="3" borderId="0" xfId="0" applyFont="1" applyFill="1"/>
    <xf numFmtId="0" fontId="4" fillId="3" borderId="0" xfId="0" applyFont="1" applyFill="1" applyBorder="1"/>
    <xf numFmtId="0" fontId="1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/>
    <xf numFmtId="2" fontId="3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2" fontId="3" fillId="3" borderId="4" xfId="0" applyNumberFormat="1" applyFont="1" applyFill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2" fontId="3" fillId="3" borderId="1" xfId="0" applyNumberFormat="1" applyFont="1" applyFill="1" applyBorder="1" applyAlignment="1"/>
    <xf numFmtId="2" fontId="3" fillId="3" borderId="3" xfId="0" applyNumberFormat="1" applyFont="1" applyFill="1" applyBorder="1" applyAlignment="1"/>
    <xf numFmtId="0" fontId="3" fillId="3" borderId="3" xfId="0" applyFont="1" applyFill="1" applyBorder="1" applyAlignment="1"/>
    <xf numFmtId="0" fontId="4" fillId="3" borderId="3" xfId="0" applyFont="1" applyFill="1" applyBorder="1" applyAlignment="1"/>
    <xf numFmtId="2" fontId="3" fillId="3" borderId="5" xfId="0" applyNumberFormat="1" applyFont="1" applyFill="1" applyBorder="1" applyAlignment="1"/>
    <xf numFmtId="2" fontId="6" fillId="2" borderId="0" xfId="0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2" fontId="7" fillId="2" borderId="0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right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3" borderId="0" xfId="0" applyFill="1" applyAlignment="1">
      <alignment horizontal="center"/>
    </xf>
    <xf numFmtId="9" fontId="0" fillId="3" borderId="0" xfId="2" applyFont="1" applyFill="1"/>
    <xf numFmtId="0" fontId="12" fillId="0" borderId="13" xfId="0" applyFont="1" applyBorder="1" applyAlignment="1">
      <alignment horizontal="left" indent="1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13" fillId="0" borderId="0" xfId="0" applyFont="1"/>
    <xf numFmtId="2" fontId="14" fillId="3" borderId="0" xfId="0" applyNumberFormat="1" applyFont="1" applyFill="1" applyBorder="1" applyAlignment="1"/>
    <xf numFmtId="2" fontId="14" fillId="3" borderId="0" xfId="0" applyNumberFormat="1" applyFont="1" applyFill="1" applyBorder="1" applyAlignment="1">
      <alignment horizontal="right"/>
    </xf>
    <xf numFmtId="1" fontId="0" fillId="3" borderId="0" xfId="0" applyNumberFormat="1" applyFill="1"/>
    <xf numFmtId="4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center"/>
    </xf>
    <xf numFmtId="4" fontId="4" fillId="3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 applyAlignment="1">
      <alignment horizontal="right"/>
    </xf>
    <xf numFmtId="3" fontId="0" fillId="3" borderId="0" xfId="0" applyNumberFormat="1" applyFill="1" applyBorder="1"/>
    <xf numFmtId="0" fontId="16" fillId="4" borderId="14" xfId="0" applyFont="1" applyFill="1" applyBorder="1" applyAlignment="1">
      <alignment vertical="center"/>
    </xf>
    <xf numFmtId="165" fontId="0" fillId="3" borderId="0" xfId="1" applyNumberFormat="1" applyFont="1" applyFill="1"/>
    <xf numFmtId="16" fontId="0" fillId="5" borderId="15" xfId="0" quotePrefix="1" applyNumberForma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5" borderId="0" xfId="0" applyFill="1" applyBorder="1"/>
    <xf numFmtId="0" fontId="0" fillId="5" borderId="16" xfId="0" applyFill="1" applyBorder="1" applyAlignment="1">
      <alignment horizontal="center"/>
    </xf>
    <xf numFmtId="16" fontId="0" fillId="4" borderId="15" xfId="0" quotePrefix="1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" fontId="3" fillId="4" borderId="15" xfId="0" quotePrefix="1" applyNumberFormat="1" applyFont="1" applyFill="1" applyBorder="1" applyAlignment="1">
      <alignment horizontal="center"/>
    </xf>
    <xf numFmtId="16" fontId="3" fillId="4" borderId="15" xfId="0" applyNumberFormat="1" applyFont="1" applyFill="1" applyBorder="1" applyAlignment="1">
      <alignment horizontal="center"/>
    </xf>
    <xf numFmtId="2" fontId="0" fillId="3" borderId="0" xfId="0" applyNumberFormat="1" applyFill="1"/>
    <xf numFmtId="164" fontId="5" fillId="3" borderId="6" xfId="0" applyNumberFormat="1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164" fontId="14" fillId="2" borderId="2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17" fillId="3" borderId="0" xfId="0" applyFont="1" applyFill="1"/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9" fontId="1" fillId="3" borderId="0" xfId="2" applyFont="1" applyFill="1"/>
    <xf numFmtId="164" fontId="7" fillId="2" borderId="4" xfId="0" applyNumberFormat="1" applyFont="1" applyFill="1" applyBorder="1" applyAlignment="1">
      <alignment horizontal="right"/>
    </xf>
    <xf numFmtId="0" fontId="3" fillId="3" borderId="0" xfId="0" applyFont="1" applyFill="1"/>
    <xf numFmtId="166" fontId="7" fillId="2" borderId="4" xfId="0" applyNumberFormat="1" applyFont="1" applyFill="1" applyBorder="1" applyAlignment="1">
      <alignment horizontal="right"/>
    </xf>
    <xf numFmtId="166" fontId="7" fillId="2" borderId="2" xfId="0" applyNumberFormat="1" applyFont="1" applyFill="1" applyBorder="1" applyAlignment="1">
      <alignment horizontal="right"/>
    </xf>
    <xf numFmtId="167" fontId="4" fillId="3" borderId="0" xfId="2" applyNumberFormat="1" applyFont="1" applyFill="1" applyBorder="1"/>
    <xf numFmtId="167" fontId="1" fillId="3" borderId="0" xfId="2" applyNumberFormat="1" applyFont="1" applyFill="1"/>
    <xf numFmtId="166" fontId="4" fillId="3" borderId="0" xfId="0" applyNumberFormat="1" applyFont="1" applyFill="1" applyBorder="1"/>
    <xf numFmtId="166" fontId="3" fillId="3" borderId="4" xfId="0" applyNumberFormat="1" applyFont="1" applyFill="1" applyBorder="1" applyAlignment="1">
      <alignment horizontal="right"/>
    </xf>
    <xf numFmtId="167" fontId="4" fillId="3" borderId="0" xfId="2" applyNumberFormat="1" applyFont="1" applyFill="1"/>
    <xf numFmtId="166" fontId="0" fillId="0" borderId="0" xfId="0" applyNumberFormat="1"/>
    <xf numFmtId="9" fontId="0" fillId="3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Calc!$D$18:$F$18</c:f>
              <c:numCache>
                <c:formatCode>General</c:formatCode>
                <c:ptCount val="3"/>
                <c:pt idx="0">
                  <c:v>15470.314195315334</c:v>
                </c:pt>
                <c:pt idx="1">
                  <c:v>10878.522402287201</c:v>
                </c:pt>
                <c:pt idx="2">
                  <c:v>10022.296571715915</c:v>
                </c:pt>
              </c:numCache>
            </c:numRef>
          </c:xVal>
          <c:yVal>
            <c:numRef>
              <c:f>Calc!$D$19:$F$19</c:f>
              <c:numCache>
                <c:formatCode>General</c:formatCode>
                <c:ptCount val="3"/>
                <c:pt idx="0">
                  <c:v>2.5</c:v>
                </c:pt>
                <c:pt idx="1">
                  <c:v>1.6</c:v>
                </c:pt>
                <c:pt idx="2">
                  <c:v>1.5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330328"/>
        <c:axId val="525061312"/>
      </c:scatterChart>
      <c:valAx>
        <c:axId val="34433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5061312"/>
        <c:crosses val="autoZero"/>
        <c:crossBetween val="midCat"/>
      </c:valAx>
      <c:valAx>
        <c:axId val="52506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4330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Calc!$D$36:$F$36</c:f>
              <c:numCache>
                <c:formatCode>General</c:formatCode>
                <c:ptCount val="3"/>
                <c:pt idx="0">
                  <c:v>7897.9484949636571</c:v>
                </c:pt>
                <c:pt idx="1">
                  <c:v>10680.353325677055</c:v>
                </c:pt>
                <c:pt idx="2">
                  <c:v>10787.172400244735</c:v>
                </c:pt>
              </c:numCache>
            </c:numRef>
          </c:xVal>
          <c:yVal>
            <c:numRef>
              <c:f>Calc!$D$37:$F$37</c:f>
              <c:numCache>
                <c:formatCode>General</c:formatCode>
                <c:ptCount val="3"/>
                <c:pt idx="0">
                  <c:v>2.2999999999999998</c:v>
                </c:pt>
                <c:pt idx="1">
                  <c:v>2.5</c:v>
                </c:pt>
                <c:pt idx="2">
                  <c:v>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062488"/>
        <c:axId val="525062880"/>
      </c:scatterChart>
      <c:valAx>
        <c:axId val="52506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5062880"/>
        <c:crosses val="autoZero"/>
        <c:crossBetween val="midCat"/>
      </c:valAx>
      <c:valAx>
        <c:axId val="52506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5062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Calc!$D$49:$F$49</c:f>
              <c:numCache>
                <c:formatCode>General</c:formatCode>
                <c:ptCount val="3"/>
                <c:pt idx="0">
                  <c:v>4315.5959374654412</c:v>
                </c:pt>
                <c:pt idx="1">
                  <c:v>5533.9787469662451</c:v>
                </c:pt>
                <c:pt idx="2">
                  <c:v>5588.9126225633918</c:v>
                </c:pt>
              </c:numCache>
            </c:numRef>
          </c:xVal>
          <c:yVal>
            <c:numRef>
              <c:f>Calc!$D$50:$F$50</c:f>
              <c:numCache>
                <c:formatCode>General</c:formatCode>
                <c:ptCount val="3"/>
                <c:pt idx="0">
                  <c:v>2.1</c:v>
                </c:pt>
                <c:pt idx="1">
                  <c:v>2.5</c:v>
                </c:pt>
                <c:pt idx="2">
                  <c:v>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062096"/>
        <c:axId val="525063664"/>
      </c:scatterChart>
      <c:valAx>
        <c:axId val="5250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5063664"/>
        <c:crosses val="autoZero"/>
        <c:crossBetween val="midCat"/>
      </c:valAx>
      <c:valAx>
        <c:axId val="52506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5062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 = f(Pr)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'Warm compressor'!$F$5:$M$5</c:f>
              <c:numCache>
                <c:formatCode>0</c:formatCode>
                <c:ptCount val="8"/>
                <c:pt idx="0">
                  <c:v>26.743254239160944</c:v>
                </c:pt>
                <c:pt idx="1">
                  <c:v>30.563420122802697</c:v>
                </c:pt>
                <c:pt idx="2">
                  <c:v>35.656858362069514</c:v>
                </c:pt>
                <c:pt idx="3">
                  <c:v>42.787448661660527</c:v>
                </c:pt>
                <c:pt idx="4">
                  <c:v>53.482845806612268</c:v>
                </c:pt>
                <c:pt idx="5">
                  <c:v>71.307205664975669</c:v>
                </c:pt>
                <c:pt idx="6">
                  <c:v>106.95104333780681</c:v>
                </c:pt>
                <c:pt idx="7">
                  <c:v>213.84351287456735</c:v>
                </c:pt>
              </c:numCache>
            </c:numRef>
          </c:xVal>
          <c:yVal>
            <c:numRef>
              <c:f>'Warm compressor'!$F$10:$M$10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064448"/>
        <c:axId val="525064840"/>
      </c:scatterChart>
      <c:valAx>
        <c:axId val="52506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064840"/>
        <c:crosses val="autoZero"/>
        <c:crossBetween val="midCat"/>
      </c:valAx>
      <c:valAx>
        <c:axId val="52506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50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422414</xdr:colOff>
      <xdr:row>3</xdr:row>
      <xdr:rowOff>15737</xdr:rowOff>
    </xdr:from>
    <xdr:to>
      <xdr:col>26</xdr:col>
      <xdr:colOff>91109</xdr:colOff>
      <xdr:row>23</xdr:row>
      <xdr:rowOff>91937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422415</xdr:colOff>
      <xdr:row>16</xdr:row>
      <xdr:rowOff>164823</xdr:rowOff>
    </xdr:from>
    <xdr:to>
      <xdr:col>28</xdr:col>
      <xdr:colOff>91110</xdr:colOff>
      <xdr:row>37</xdr:row>
      <xdr:rowOff>50523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579783</xdr:colOff>
      <xdr:row>46</xdr:row>
      <xdr:rowOff>40584</xdr:rowOff>
    </xdr:from>
    <xdr:to>
      <xdr:col>30</xdr:col>
      <xdr:colOff>248479</xdr:colOff>
      <xdr:row>62</xdr:row>
      <xdr:rowOff>116784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563218</xdr:colOff>
      <xdr:row>1</xdr:row>
      <xdr:rowOff>129243</xdr:rowOff>
    </xdr:from>
    <xdr:to>
      <xdr:col>50</xdr:col>
      <xdr:colOff>137907</xdr:colOff>
      <xdr:row>35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4935" y="319743"/>
          <a:ext cx="13671689" cy="6481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289892</xdr:colOff>
      <xdr:row>40</xdr:row>
      <xdr:rowOff>74544</xdr:rowOff>
    </xdr:from>
    <xdr:to>
      <xdr:col>16</xdr:col>
      <xdr:colOff>96243</xdr:colOff>
      <xdr:row>49</xdr:row>
      <xdr:rowOff>61631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1892" y="7694544"/>
          <a:ext cx="7517460" cy="1701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57150</xdr:rowOff>
    </xdr:from>
    <xdr:to>
      <xdr:col>9</xdr:col>
      <xdr:colOff>361950</xdr:colOff>
      <xdr:row>39</xdr:row>
      <xdr:rowOff>34925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7650"/>
          <a:ext cx="5591175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523875</xdr:colOff>
      <xdr:row>0</xdr:row>
      <xdr:rowOff>76200</xdr:rowOff>
    </xdr:from>
    <xdr:to>
      <xdr:col>29</xdr:col>
      <xdr:colOff>208675</xdr:colOff>
      <xdr:row>8</xdr:row>
      <xdr:rowOff>171248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7475" y="76200"/>
          <a:ext cx="7000000" cy="1619048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22</xdr:row>
      <xdr:rowOff>171450</xdr:rowOff>
    </xdr:from>
    <xdr:to>
      <xdr:col>4</xdr:col>
      <xdr:colOff>409575</xdr:colOff>
      <xdr:row>38</xdr:row>
      <xdr:rowOff>85725</xdr:rowOff>
    </xdr:to>
    <xdr:cxnSp macro="">
      <xdr:nvCxnSpPr>
        <xdr:cNvPr id="5" name="Straight Connector 4"/>
        <xdr:cNvCxnSpPr/>
      </xdr:nvCxnSpPr>
      <xdr:spPr>
        <a:xfrm>
          <a:off x="2847975" y="4362450"/>
          <a:ext cx="0" cy="29622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19050</xdr:rowOff>
    </xdr:from>
    <xdr:to>
      <xdr:col>10</xdr:col>
      <xdr:colOff>485775</xdr:colOff>
      <xdr:row>30</xdr:row>
      <xdr:rowOff>19050</xdr:rowOff>
    </xdr:to>
    <xdr:cxnSp macro="">
      <xdr:nvCxnSpPr>
        <xdr:cNvPr id="7" name="Straight Connector 6"/>
        <xdr:cNvCxnSpPr/>
      </xdr:nvCxnSpPr>
      <xdr:spPr>
        <a:xfrm>
          <a:off x="609600" y="5734050"/>
          <a:ext cx="59721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557212</xdr:colOff>
      <xdr:row>12</xdr:row>
      <xdr:rowOff>147637</xdr:rowOff>
    </xdr:from>
    <xdr:to>
      <xdr:col>11</xdr:col>
      <xdr:colOff>500062</xdr:colOff>
      <xdr:row>27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13</xdr:col>
      <xdr:colOff>455811</xdr:colOff>
      <xdr:row>26</xdr:row>
      <xdr:rowOff>23812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50"/>
          <a:ext cx="8772378" cy="4805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26</xdr:col>
      <xdr:colOff>467860</xdr:colOff>
      <xdr:row>11</xdr:row>
      <xdr:rowOff>114062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16317460" cy="1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s/macro_vh_97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\OneDrive\Docs\Tech\00-Process\Libs\macro_vh_97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oxsrv\Documents\OneDrive\Docs\Tech\00-Process\Libs\HEPAK.xl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ibs/HEPAK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DP_mbar_iter"/>
      <definedName name="h_"/>
      <definedName name="HECALC"/>
      <definedName name="P_sat"/>
      <definedName name="rho_"/>
    </defined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macro_vh_97"/>
    </sheetNames>
    <definedNames>
      <definedName name="HECALC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</defined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EPAK"/>
    </sheetNames>
    <definedNames>
      <definedName name="HECALC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Y116"/>
  <sheetViews>
    <sheetView tabSelected="1" topLeftCell="A64" zoomScale="115" zoomScaleNormal="115" workbookViewId="0">
      <selection activeCell="D107" sqref="D107"/>
    </sheetView>
  </sheetViews>
  <sheetFormatPr defaultRowHeight="15" outlineLevelRow="1" x14ac:dyDescent="0.25"/>
  <cols>
    <col min="1" max="2" width="9.140625" style="1"/>
    <col min="3" max="3" width="14.85546875" style="1" customWidth="1"/>
    <col min="4" max="4" width="14.140625" style="1" customWidth="1"/>
    <col min="5" max="5" width="13.42578125" style="1" customWidth="1"/>
    <col min="6" max="6" width="12.42578125" style="1" customWidth="1"/>
    <col min="7" max="7" width="9.42578125" style="1" bestFit="1" customWidth="1"/>
    <col min="8" max="8" width="9.5703125" style="1" bestFit="1" customWidth="1"/>
    <col min="9" max="9" width="16.85546875" style="1" customWidth="1"/>
    <col min="10" max="10" width="9.140625" style="1"/>
    <col min="11" max="11" width="16.85546875" style="1" customWidth="1"/>
    <col min="12" max="15" width="9.140625" style="1"/>
    <col min="16" max="16" width="16.85546875" style="1" customWidth="1"/>
    <col min="17" max="17" width="9.42578125" style="1" bestFit="1" customWidth="1"/>
    <col min="18" max="16384" width="9.140625" style="1"/>
  </cols>
  <sheetData>
    <row r="2" spans="2:25" x14ac:dyDescent="0.25">
      <c r="B2" s="4"/>
      <c r="C2" s="4"/>
      <c r="D2" s="4"/>
      <c r="E2" s="4"/>
      <c r="F2" s="4"/>
      <c r="G2" s="4"/>
      <c r="H2" s="4" t="s">
        <v>79</v>
      </c>
      <c r="I2" s="4">
        <v>2</v>
      </c>
      <c r="J2" s="4"/>
      <c r="K2" s="4">
        <v>2</v>
      </c>
      <c r="L2" s="4"/>
      <c r="M2" s="4"/>
      <c r="N2" s="4"/>
      <c r="O2" s="4"/>
      <c r="P2" s="4">
        <v>2</v>
      </c>
      <c r="Q2" s="4"/>
      <c r="R2" s="4"/>
      <c r="S2" s="4"/>
      <c r="T2" s="4"/>
      <c r="U2" s="4"/>
      <c r="V2" s="4"/>
      <c r="W2" s="4"/>
      <c r="X2" s="4"/>
      <c r="Y2" s="4"/>
    </row>
    <row r="3" spans="2:25" x14ac:dyDescent="0.25">
      <c r="B3" s="8"/>
      <c r="C3" s="8"/>
      <c r="D3" s="8"/>
      <c r="E3" s="8"/>
      <c r="F3" s="8"/>
      <c r="G3" s="4"/>
      <c r="H3" s="8" t="s">
        <v>80</v>
      </c>
      <c r="I3" s="8">
        <f>[1]!P_sat(10,I2)/1.013</f>
        <v>3.0891034270575768E-2</v>
      </c>
      <c r="J3" s="78">
        <f>1-0.0279/0.028</f>
        <v>3.5714285714285587E-3</v>
      </c>
      <c r="K3" s="8">
        <f>[1]!P_sat(10,K2)/1.013</f>
        <v>3.0891034270575768E-2</v>
      </c>
      <c r="L3" s="8"/>
      <c r="M3" s="8"/>
      <c r="N3" s="8"/>
      <c r="O3" s="8"/>
      <c r="P3" s="8">
        <f>[1]!P_sat(10,P2)</f>
        <v>3.1292617716093249E-2</v>
      </c>
      <c r="Q3" s="8"/>
      <c r="R3" s="8"/>
      <c r="S3" s="8"/>
      <c r="T3" s="8"/>
      <c r="U3" s="8"/>
      <c r="V3" s="8"/>
      <c r="W3" s="8"/>
      <c r="X3" s="8"/>
      <c r="Y3" s="8"/>
    </row>
    <row r="4" spans="2:25" x14ac:dyDescent="0.25">
      <c r="B4" s="8"/>
      <c r="C4" s="8"/>
      <c r="D4" s="8"/>
      <c r="E4" s="8"/>
      <c r="F4" s="8"/>
      <c r="G4" s="4"/>
      <c r="H4" s="8"/>
      <c r="I4" s="80">
        <f>(I3-I7)*1000</f>
        <v>2.8910342705757675</v>
      </c>
      <c r="J4" s="8" t="s">
        <v>16</v>
      </c>
      <c r="K4" s="80">
        <f>(K3-K7)*1000</f>
        <v>2.8910342705757675</v>
      </c>
      <c r="L4" s="8"/>
      <c r="M4" s="8"/>
      <c r="N4" s="8"/>
      <c r="O4" s="8"/>
      <c r="P4" s="80">
        <f>(P3-P7)*1000</f>
        <v>0</v>
      </c>
      <c r="Q4" s="8"/>
      <c r="R4" s="8"/>
      <c r="S4" s="8"/>
      <c r="T4" s="8"/>
      <c r="U4" s="8"/>
      <c r="V4" s="8"/>
      <c r="W4" s="8"/>
      <c r="X4" s="8"/>
      <c r="Y4" s="8"/>
    </row>
    <row r="5" spans="2:25" x14ac:dyDescent="0.25">
      <c r="B5" s="8"/>
      <c r="C5" s="8"/>
      <c r="D5" s="29" t="s">
        <v>13</v>
      </c>
      <c r="E5" s="29" t="s">
        <v>14</v>
      </c>
      <c r="F5" s="29" t="s">
        <v>15</v>
      </c>
      <c r="G5" s="4"/>
      <c r="H5" s="8"/>
      <c r="I5" s="71" t="s">
        <v>74</v>
      </c>
      <c r="J5" s="8"/>
      <c r="K5" s="71" t="s">
        <v>74</v>
      </c>
      <c r="L5" s="8"/>
      <c r="M5" s="8"/>
      <c r="N5" s="4"/>
      <c r="P5" s="71" t="s">
        <v>74</v>
      </c>
    </row>
    <row r="6" spans="2:25" x14ac:dyDescent="0.25">
      <c r="B6" s="8"/>
      <c r="C6" s="5" t="s">
        <v>2</v>
      </c>
      <c r="D6" s="30">
        <v>215</v>
      </c>
      <c r="E6" s="30">
        <v>157</v>
      </c>
      <c r="F6" s="30">
        <v>150</v>
      </c>
      <c r="G6" s="4"/>
      <c r="H6" s="10"/>
      <c r="I6" s="72">
        <v>180</v>
      </c>
      <c r="J6" s="10"/>
      <c r="K6" s="72">
        <v>180</v>
      </c>
      <c r="L6" s="9"/>
      <c r="M6" s="9"/>
      <c r="P6" s="72">
        <v>180</v>
      </c>
    </row>
    <row r="7" spans="2:25" x14ac:dyDescent="0.25">
      <c r="B7" s="8"/>
      <c r="C7" s="21" t="s">
        <v>0</v>
      </c>
      <c r="D7" s="31">
        <f>26/1000</f>
        <v>2.5999999999999999E-2</v>
      </c>
      <c r="E7" s="31">
        <f>27/1000</f>
        <v>2.7E-2</v>
      </c>
      <c r="F7" s="31">
        <f>28/1000</f>
        <v>2.8000000000000001E-2</v>
      </c>
      <c r="G7" s="4"/>
      <c r="H7" s="10"/>
      <c r="I7" s="77">
        <f>28/1000</f>
        <v>2.8000000000000001E-2</v>
      </c>
      <c r="J7" s="10"/>
      <c r="K7" s="77">
        <f>28/1000</f>
        <v>2.8000000000000001E-2</v>
      </c>
      <c r="L7" s="9"/>
      <c r="M7" s="9"/>
      <c r="P7" s="77">
        <f>P3</f>
        <v>3.1292617716093249E-2</v>
      </c>
    </row>
    <row r="8" spans="2:25" x14ac:dyDescent="0.25">
      <c r="B8" s="8"/>
      <c r="C8" s="22" t="s">
        <v>1</v>
      </c>
      <c r="D8" s="32">
        <v>3.5</v>
      </c>
      <c r="E8" s="32">
        <v>3.5</v>
      </c>
      <c r="F8" s="32">
        <v>3.5</v>
      </c>
      <c r="G8" s="4"/>
      <c r="H8" s="10"/>
      <c r="I8" s="32">
        <v>3.8519999999999999</v>
      </c>
      <c r="J8" s="10"/>
      <c r="K8" s="32">
        <v>3.8519999999999999</v>
      </c>
      <c r="L8" s="9"/>
      <c r="M8" s="9"/>
      <c r="P8" s="32">
        <v>3.8519999999999999</v>
      </c>
    </row>
    <row r="9" spans="2:25" x14ac:dyDescent="0.25">
      <c r="B9" s="8"/>
      <c r="C9" s="22" t="s">
        <v>77</v>
      </c>
      <c r="D9" s="74"/>
      <c r="E9" s="74"/>
      <c r="F9" s="74"/>
      <c r="G9" s="4"/>
      <c r="H9" s="10"/>
      <c r="I9" s="76">
        <v>2</v>
      </c>
      <c r="J9" s="10"/>
      <c r="K9" s="76">
        <v>1</v>
      </c>
      <c r="L9" s="9"/>
      <c r="M9" s="9"/>
      <c r="P9" s="76">
        <v>50</v>
      </c>
    </row>
    <row r="10" spans="2:25" x14ac:dyDescent="0.25">
      <c r="B10" s="8"/>
      <c r="C10" s="22" t="s">
        <v>82</v>
      </c>
      <c r="D10" s="74"/>
      <c r="E10" s="74"/>
      <c r="F10" s="74"/>
      <c r="G10" s="4"/>
      <c r="H10" s="10"/>
      <c r="I10" s="76">
        <v>4</v>
      </c>
      <c r="J10" s="10"/>
      <c r="K10" s="76">
        <v>4</v>
      </c>
      <c r="L10" s="9"/>
      <c r="M10" s="9"/>
      <c r="P10" s="76">
        <v>4</v>
      </c>
    </row>
    <row r="11" spans="2:25" x14ac:dyDescent="0.25">
      <c r="B11" s="8"/>
      <c r="C11" s="22" t="s">
        <v>78</v>
      </c>
      <c r="D11" s="74"/>
      <c r="E11" s="74"/>
      <c r="F11" s="74"/>
      <c r="G11" s="4"/>
      <c r="H11" s="10"/>
      <c r="I11" s="81">
        <v>262</v>
      </c>
      <c r="J11" s="75"/>
      <c r="K11" s="81">
        <v>108</v>
      </c>
      <c r="L11" s="9"/>
      <c r="M11" s="9"/>
      <c r="P11" s="81">
        <v>262</v>
      </c>
    </row>
    <row r="12" spans="2:25" x14ac:dyDescent="0.25">
      <c r="B12" s="8"/>
      <c r="C12" s="22" t="s">
        <v>76</v>
      </c>
      <c r="D12" s="74"/>
      <c r="E12" s="74"/>
      <c r="F12" s="74"/>
      <c r="G12" s="4"/>
      <c r="H12" s="82">
        <f>I12/I7/1000</f>
        <v>7.414688379696853E-3</v>
      </c>
      <c r="I12" s="81">
        <f>[1]!DP_mbar_iter(I6,I9,I11,I10,10,I7,I8)</f>
        <v>0.20761127463151188</v>
      </c>
      <c r="J12" s="75" t="s">
        <v>16</v>
      </c>
      <c r="K12" s="81">
        <f>[1]!DP_mbar_iter(K6,K9,K11,K10,10,K7,K8)</f>
        <v>8.7757898778708281</v>
      </c>
      <c r="L12" s="9"/>
      <c r="M12" s="79">
        <f>I12/1000/I7</f>
        <v>7.414688379696853E-3</v>
      </c>
      <c r="P12" s="81">
        <f>[1]!DP_mbar_iter(P6,P9,P11,P10,10,P7,P8)</f>
        <v>0.56941400022272193</v>
      </c>
    </row>
    <row r="13" spans="2:25" x14ac:dyDescent="0.25">
      <c r="B13" s="8"/>
      <c r="C13" s="22" t="s">
        <v>81</v>
      </c>
      <c r="D13" s="74">
        <f>26/1000</f>
        <v>2.5999999999999999E-2</v>
      </c>
      <c r="E13" s="74">
        <f>27/1000</f>
        <v>2.7E-2</v>
      </c>
      <c r="F13" s="74">
        <f>28/1000</f>
        <v>2.8000000000000001E-2</v>
      </c>
      <c r="G13" s="4"/>
      <c r="H13" s="10"/>
      <c r="I13" s="81">
        <f>I7-I12/1000</f>
        <v>2.7792388725368489E-2</v>
      </c>
      <c r="J13" s="75">
        <f>1-I13/I7</f>
        <v>7.4146883796968321E-3</v>
      </c>
      <c r="K13" s="81">
        <f>K7-K12/1000</f>
        <v>1.9224210122129173E-2</v>
      </c>
      <c r="L13" s="9"/>
      <c r="M13" s="9"/>
      <c r="P13" s="81">
        <f>P7-P12/1000</f>
        <v>3.0723203715870527E-2</v>
      </c>
    </row>
    <row r="14" spans="2:25" outlineLevel="1" x14ac:dyDescent="0.25">
      <c r="B14" s="8"/>
      <c r="C14" s="22" t="s">
        <v>7</v>
      </c>
      <c r="D14" s="15">
        <f>[1]!HECALC(8, 0, "P", D13 * 10^5, "T",D8, 1)</f>
        <v>16050.697529741326</v>
      </c>
      <c r="E14" s="15">
        <f>[1]!HECALC(8, 0, "P", E13 * 10^5, "T",E8, 1)</f>
        <v>15971.231484439175</v>
      </c>
      <c r="F14" s="15">
        <f>[1]!HECALC(8, 0, "P", F13 * 10^5, "T",F8, 1)</f>
        <v>15894.616121833711</v>
      </c>
      <c r="G14" s="4"/>
      <c r="H14" s="10"/>
      <c r="I14" s="15">
        <f>[1]!HECALC(8, 0, "P", I13 * 10^5, "T",I8, 1)</f>
        <v>16414.429938316156</v>
      </c>
      <c r="J14" s="10"/>
      <c r="K14" s="15">
        <f>[1]!HECALC(8, 0, "P", K13 * 10^5, "T",K8, 1)</f>
        <v>17187.217442482666</v>
      </c>
      <c r="L14" s="9"/>
      <c r="M14" s="9"/>
      <c r="P14" s="15">
        <f>[1]!HECALC(8, 0, "P", P13 * 10^5, "T",P8, 1)</f>
        <v>16203.726122698774</v>
      </c>
      <c r="T14" s="2"/>
    </row>
    <row r="15" spans="2:25" outlineLevel="1" x14ac:dyDescent="0.25">
      <c r="B15" s="8"/>
      <c r="C15" s="22" t="s">
        <v>8</v>
      </c>
      <c r="D15" s="15">
        <f>[1]!HECALC(9, 0, "P", D13 * 10^5, "T",D8, 1)</f>
        <v>33281.75916677506</v>
      </c>
      <c r="E15" s="15">
        <f>[1]!HECALC(9, 0, "P", E13 * 10^5, "T",E8, 1)</f>
        <v>33275.299232151046</v>
      </c>
      <c r="F15" s="15">
        <f>[1]!HECALC(9, 0, "P", F13 * 10^5, "T",F8, 1)</f>
        <v>33268.83624459392</v>
      </c>
      <c r="G15" s="4"/>
      <c r="H15" s="10"/>
      <c r="I15" s="15">
        <f>[1]!HECALC(9, 0, "P", I13 * 10^5, "T",I8, 1)</f>
        <v>35121.891023082535</v>
      </c>
      <c r="J15" s="10"/>
      <c r="K15" s="15">
        <f>[1]!HECALC(9, 0, "P", K13 * 10^5, "T",K8, 1)</f>
        <v>35169.767165216435</v>
      </c>
      <c r="L15" s="9"/>
      <c r="M15" s="9"/>
      <c r="P15" s="15">
        <f>[1]!HECALC(9, 0, "P", P13 * 10^5, "T",P8, 1)</f>
        <v>35105.478502620863</v>
      </c>
      <c r="T15" s="2"/>
    </row>
    <row r="16" spans="2:25" x14ac:dyDescent="0.25">
      <c r="B16" s="8"/>
      <c r="C16" s="23" t="s">
        <v>9</v>
      </c>
      <c r="D16" s="17">
        <f>[1]!HECALC(3, 0, "P", D13 * 10^5, "T",D8, 1)</f>
        <v>0.36112170986659059</v>
      </c>
      <c r="E16" s="17">
        <f>[1]!HECALC(3, 0, "P", E13 * 10^5, "T",E8, 1)</f>
        <v>0.37515318652180835</v>
      </c>
      <c r="F16" s="17">
        <f>[1]!HECALC(3, 0, "P", F13 * 10^5, "T",F8, 1)</f>
        <v>0.38919537709235957</v>
      </c>
      <c r="G16" s="4"/>
      <c r="H16" s="10"/>
      <c r="I16" s="17">
        <f>[1]!HECALC(3, 0, "P", I13 * 10^5, "T",I8, 1)</f>
        <v>0.35023613480505217</v>
      </c>
      <c r="J16" s="10"/>
      <c r="K16" s="17">
        <f>[1]!HECALC(3, 0, "P", K13 * 10^5, "T",K8, 1)</f>
        <v>0.24163791445926122</v>
      </c>
      <c r="L16" s="9">
        <f>K16/I16</f>
        <v>0.68992856660481738</v>
      </c>
      <c r="M16" s="9"/>
      <c r="P16" s="17">
        <f>[1]!HECALC(3, 0, "P", P13 * 10^5, "T",P8, 1)</f>
        <v>0.38751244803719348</v>
      </c>
      <c r="T16" s="2"/>
    </row>
    <row r="17" spans="2:20" outlineLevel="1" x14ac:dyDescent="0.25">
      <c r="B17" s="8"/>
      <c r="C17" s="22" t="s">
        <v>11</v>
      </c>
      <c r="D17" s="17">
        <f>D6/D16*3.6</f>
        <v>2143.3217080356076</v>
      </c>
      <c r="E17" s="17">
        <f>E6/E16*3.6</f>
        <v>1506.5845641354931</v>
      </c>
      <c r="F17" s="17">
        <f>F6/F16*3.6</f>
        <v>1387.4779398313694</v>
      </c>
      <c r="G17" s="4"/>
      <c r="H17" s="10"/>
      <c r="I17" s="17">
        <f>I6/I16*3.6</f>
        <v>1850.1803086671473</v>
      </c>
      <c r="J17" s="10"/>
      <c r="K17" s="17">
        <f>K6/K16*3.6</f>
        <v>2681.6983644727206</v>
      </c>
      <c r="L17" s="73">
        <f>1-K17/I17</f>
        <v>-0.44942541649067236</v>
      </c>
      <c r="M17" s="9" t="s">
        <v>75</v>
      </c>
      <c r="P17" s="17">
        <f>P6/P16*3.6</f>
        <v>1672.2043466789612</v>
      </c>
    </row>
    <row r="18" spans="2:20" outlineLevel="1" x14ac:dyDescent="0.25">
      <c r="B18" s="8"/>
      <c r="C18" s="22" t="s">
        <v>10</v>
      </c>
      <c r="D18" s="17">
        <f>D6*D8^0.5/D13</f>
        <v>15470.314195315334</v>
      </c>
      <c r="E18" s="17">
        <f>E6*E8^0.5/E13</f>
        <v>10878.522402287201</v>
      </c>
      <c r="F18" s="17">
        <f>F6*F8^0.5/F13</f>
        <v>10022.296571715915</v>
      </c>
      <c r="G18" s="4"/>
      <c r="H18" s="10"/>
      <c r="I18" s="17">
        <f>I6*I8^0.5/I13</f>
        <v>12711.294151104399</v>
      </c>
      <c r="J18" s="10"/>
      <c r="K18" s="17">
        <f>K6*K8^0.5/K13</f>
        <v>18376.683671561386</v>
      </c>
      <c r="L18" s="9"/>
      <c r="M18" s="9"/>
      <c r="P18" s="17">
        <f>P6*P8^0.5/P13</f>
        <v>11498.710600532382</v>
      </c>
      <c r="T18" s="2"/>
    </row>
    <row r="19" spans="2:20" x14ac:dyDescent="0.25">
      <c r="B19" s="8"/>
      <c r="C19" s="24" t="s">
        <v>12</v>
      </c>
      <c r="D19" s="18">
        <v>2.5</v>
      </c>
      <c r="E19" s="18">
        <v>1.6</v>
      </c>
      <c r="F19" s="18">
        <v>1.5</v>
      </c>
      <c r="G19" s="4"/>
      <c r="H19" s="10"/>
      <c r="I19" s="67">
        <f>(I$69/I$13)^(1/4)</f>
        <v>2.3854985586069875</v>
      </c>
      <c r="J19" s="10"/>
      <c r="K19" s="67">
        <f>(K$69/K$13)^(1/4)</f>
        <v>2.615763655320257</v>
      </c>
      <c r="L19" s="9"/>
      <c r="M19" s="9"/>
      <c r="P19" s="67">
        <f>(P$69/P$13)^(1/4)</f>
        <v>2.3264514951013395</v>
      </c>
      <c r="T19" s="2"/>
    </row>
    <row r="20" spans="2:20" x14ac:dyDescent="0.25">
      <c r="B20" s="8"/>
      <c r="C20" s="25" t="s">
        <v>4</v>
      </c>
      <c r="D20" s="19">
        <v>0.7</v>
      </c>
      <c r="E20" s="19">
        <v>0.65</v>
      </c>
      <c r="F20" s="19">
        <v>0.65</v>
      </c>
      <c r="G20" s="4"/>
      <c r="H20" s="10"/>
      <c r="I20" s="66">
        <v>0.73499999999999999</v>
      </c>
      <c r="J20" s="10"/>
      <c r="K20" s="66">
        <v>0.73499999999999999</v>
      </c>
      <c r="L20" s="9"/>
      <c r="M20" s="9"/>
      <c r="P20" s="66">
        <v>0.73499999999999999</v>
      </c>
      <c r="T20" s="2"/>
    </row>
    <row r="21" spans="2:20" outlineLevel="1" x14ac:dyDescent="0.25">
      <c r="B21" s="8"/>
      <c r="C21" s="6" t="s">
        <v>6</v>
      </c>
      <c r="D21" s="12">
        <f>[1]!HECALC(9, 0, "P",D25* 10^5, "S",D14, 1)</f>
        <v>41248.078229913837</v>
      </c>
      <c r="E21" s="12">
        <f>[1]!HECALC(9, 0, "P",E25* 10^5, "S",E14, 1)</f>
        <v>36996.167064401008</v>
      </c>
      <c r="F21" s="12">
        <f>[1]!HECALC(9, 0, "P",F25* 10^5, "S",F14, 1)</f>
        <v>36435.256529453211</v>
      </c>
      <c r="G21" s="4"/>
      <c r="H21" s="10"/>
      <c r="I21" s="12">
        <f>[1]!HECALC(9, 0, "P",I25* 10^5, "S",I14, 1)</f>
        <v>43371.661928073619</v>
      </c>
      <c r="J21" s="10"/>
      <c r="K21" s="12">
        <f>[1]!HECALC(9, 0, "P",K25* 10^5, "S",K14, 1)</f>
        <v>44498.411850179618</v>
      </c>
      <c r="L21" s="9"/>
      <c r="M21" s="9"/>
      <c r="P21" s="12">
        <f>[1]!HECALC(9, 0, "P",P25* 10^5, "S",P14, 1)</f>
        <v>43067.936955499557</v>
      </c>
    </row>
    <row r="22" spans="2:20" outlineLevel="1" x14ac:dyDescent="0.25">
      <c r="B22" s="8"/>
      <c r="C22" s="6" t="s">
        <v>5</v>
      </c>
      <c r="D22" s="12">
        <f>D21-D15</f>
        <v>7966.319063138777</v>
      </c>
      <c r="E22" s="12">
        <f t="shared" ref="E22:F22" si="0">E21-E15</f>
        <v>3720.8678322499618</v>
      </c>
      <c r="F22" s="12">
        <f t="shared" si="0"/>
        <v>3166.4202848592904</v>
      </c>
      <c r="G22" s="4"/>
      <c r="H22" s="10"/>
      <c r="I22" s="12">
        <f t="shared" ref="I22" si="1">I21-I15</f>
        <v>8249.7709049910845</v>
      </c>
      <c r="J22" s="10"/>
      <c r="K22" s="12">
        <f t="shared" ref="K22" si="2">K21-K15</f>
        <v>9328.644684963183</v>
      </c>
      <c r="L22" s="9"/>
      <c r="M22" s="9"/>
      <c r="P22" s="12">
        <f t="shared" ref="P22" si="3">P21-P15</f>
        <v>7962.4584528786945</v>
      </c>
      <c r="T22" s="2"/>
    </row>
    <row r="23" spans="2:20" outlineLevel="1" x14ac:dyDescent="0.25">
      <c r="B23" s="8"/>
      <c r="C23" s="6" t="s">
        <v>73</v>
      </c>
      <c r="D23" s="12">
        <f>D22/D20</f>
        <v>11380.455804483969</v>
      </c>
      <c r="E23" s="12">
        <f t="shared" ref="E23:F23" si="4">E22/E20</f>
        <v>5724.4120496153255</v>
      </c>
      <c r="F23" s="12">
        <f t="shared" si="4"/>
        <v>4871.4158228604465</v>
      </c>
      <c r="G23" s="4"/>
      <c r="H23" s="10"/>
      <c r="I23" s="12">
        <f t="shared" ref="I23" si="5">I22/I20</f>
        <v>11224.178102028687</v>
      </c>
      <c r="J23" s="10"/>
      <c r="K23" s="12">
        <f t="shared" ref="K23" si="6">K22/K20</f>
        <v>12692.033584983923</v>
      </c>
      <c r="L23" s="9"/>
      <c r="M23" s="9"/>
      <c r="P23" s="12">
        <f t="shared" ref="P23" si="7">P22/P20</f>
        <v>10833.276806637679</v>
      </c>
      <c r="T23" s="2"/>
    </row>
    <row r="24" spans="2:20" outlineLevel="1" x14ac:dyDescent="0.25">
      <c r="B24" s="8"/>
      <c r="C24" s="45" t="s">
        <v>42</v>
      </c>
      <c r="D24" s="46">
        <f>D22/D20/1000*$D$6</f>
        <v>2446.7979979640531</v>
      </c>
      <c r="E24" s="46">
        <f>E22/E20/1000*E6</f>
        <v>898.73269178960606</v>
      </c>
      <c r="F24" s="46">
        <f>F22/F20/1000*F6</f>
        <v>730.71237342906693</v>
      </c>
      <c r="G24" s="4"/>
      <c r="H24" s="10"/>
      <c r="I24" s="46">
        <f>I22/I20/1000*I6</f>
        <v>2020.3520583651639</v>
      </c>
      <c r="J24" s="10"/>
      <c r="K24" s="46">
        <f>K22/K20/1000*K6</f>
        <v>2284.566045297106</v>
      </c>
      <c r="L24" s="9"/>
      <c r="M24" s="9"/>
      <c r="P24" s="46">
        <f>P22/P20/1000*P6</f>
        <v>1949.9898251947823</v>
      </c>
      <c r="T24" s="2"/>
    </row>
    <row r="25" spans="2:20" x14ac:dyDescent="0.25">
      <c r="B25" s="8"/>
      <c r="C25" s="21" t="s">
        <v>0</v>
      </c>
      <c r="D25" s="20">
        <f>D19*D13</f>
        <v>6.5000000000000002E-2</v>
      </c>
      <c r="E25" s="20">
        <f>E19*E13</f>
        <v>4.3200000000000002E-2</v>
      </c>
      <c r="F25" s="20">
        <f>F19*F13</f>
        <v>4.2000000000000003E-2</v>
      </c>
      <c r="G25" s="4"/>
      <c r="H25" s="10"/>
      <c r="I25" s="20">
        <f>I19*I13</f>
        <v>6.6298703244611623E-2</v>
      </c>
      <c r="J25" s="10"/>
      <c r="K25" s="20">
        <f>K19*K13</f>
        <v>5.0285990139705292E-2</v>
      </c>
      <c r="L25" s="9"/>
      <c r="M25" s="9"/>
      <c r="P25" s="20">
        <f>P19*P13</f>
        <v>7.1476043219090013E-2</v>
      </c>
      <c r="T25" s="2"/>
    </row>
    <row r="26" spans="2:20" x14ac:dyDescent="0.25">
      <c r="B26" s="8"/>
      <c r="C26" s="22" t="s">
        <v>1</v>
      </c>
      <c r="D26" s="15">
        <f>[1]!HECALC(2, 0, "P",D25 * 10^5, "H",D33, 1)</f>
        <v>5.7013589954124821</v>
      </c>
      <c r="E26" s="15">
        <f>[1]!HECALC(2, 0, "P",E25 * 10^5, "H",E33, 1)</f>
        <v>4.605341226399271</v>
      </c>
      <c r="F26" s="15">
        <f>[1]!HECALC(2, 0, "P",F25 * 10^5, "H",F33, 1)</f>
        <v>4.4405513883082648</v>
      </c>
      <c r="G26" s="4"/>
      <c r="H26" s="10"/>
      <c r="I26" s="15">
        <f>[1]!HECALC(2, 0, "P",I25 * 10^5, "H",I33, 1)</f>
        <v>6.0236816042505525</v>
      </c>
      <c r="J26" s="7"/>
      <c r="K26" s="15">
        <f>[1]!HECALC(2, 0, "P",K25 * 10^5, "H",K33, 1)</f>
        <v>6.3042181180062942</v>
      </c>
      <c r="L26" s="9"/>
      <c r="M26" s="9"/>
      <c r="P26" s="15">
        <f>[1]!HECALC(2, 0, "P",P25 * 10^5, "H",P33, 1)</f>
        <v>5.949051898485413</v>
      </c>
    </row>
    <row r="27" spans="2:20" x14ac:dyDescent="0.25">
      <c r="B27" s="8"/>
      <c r="C27" s="22" t="s">
        <v>77</v>
      </c>
      <c r="D27" s="74"/>
      <c r="E27" s="74"/>
      <c r="F27" s="74"/>
      <c r="G27" s="4"/>
      <c r="H27" s="10"/>
      <c r="I27" s="76">
        <v>2</v>
      </c>
      <c r="J27" s="10"/>
      <c r="K27" s="76">
        <v>2</v>
      </c>
      <c r="L27" s="9"/>
      <c r="M27" s="9"/>
      <c r="P27" s="76">
        <v>2</v>
      </c>
    </row>
    <row r="28" spans="2:20" x14ac:dyDescent="0.25">
      <c r="B28" s="8"/>
      <c r="C28" s="22" t="s">
        <v>82</v>
      </c>
      <c r="D28" s="74"/>
      <c r="E28" s="74"/>
      <c r="F28" s="74"/>
      <c r="G28" s="4"/>
      <c r="H28" s="10"/>
      <c r="I28" s="76">
        <v>2</v>
      </c>
      <c r="J28" s="10"/>
      <c r="K28" s="76">
        <v>2</v>
      </c>
      <c r="L28" s="9"/>
      <c r="M28" s="9"/>
      <c r="P28" s="76">
        <v>2</v>
      </c>
    </row>
    <row r="29" spans="2:20" x14ac:dyDescent="0.25">
      <c r="B29" s="8"/>
      <c r="C29" s="22" t="s">
        <v>78</v>
      </c>
      <c r="D29" s="74"/>
      <c r="E29" s="74"/>
      <c r="F29" s="74"/>
      <c r="G29" s="4"/>
      <c r="H29" s="10"/>
      <c r="I29" s="81">
        <v>262</v>
      </c>
      <c r="J29" s="75"/>
      <c r="K29" s="81">
        <v>262</v>
      </c>
      <c r="L29" s="9"/>
      <c r="M29" s="9"/>
      <c r="P29" s="81">
        <v>262</v>
      </c>
    </row>
    <row r="30" spans="2:20" x14ac:dyDescent="0.25">
      <c r="B30" s="8"/>
      <c r="C30" s="22" t="s">
        <v>76</v>
      </c>
      <c r="D30" s="74"/>
      <c r="E30" s="74"/>
      <c r="F30" s="74"/>
      <c r="G30" s="4"/>
      <c r="H30" s="10"/>
      <c r="I30" s="81">
        <f>[1]!DP_mbar_iter(I24,I27,I29,I28,10,I25,I26)</f>
        <v>10.021663769559305</v>
      </c>
      <c r="J30" s="75" t="s">
        <v>16</v>
      </c>
      <c r="K30" s="81">
        <f>[1]!DP_mbar_iter(K24,K27,K29,K28,10,K25,K26)</f>
        <v>20.59783341179218</v>
      </c>
      <c r="L30" s="9"/>
      <c r="M30" s="79">
        <f>I30/1000/I25</f>
        <v>0.15115927279277228</v>
      </c>
      <c r="P30" s="81">
        <f>[1]!DP_mbar_iter(P24,P27,P29,P28,10,P25,P26)</f>
        <v>8.39264925598758</v>
      </c>
    </row>
    <row r="31" spans="2:20" x14ac:dyDescent="0.25">
      <c r="B31" s="8"/>
      <c r="C31" s="22" t="s">
        <v>81</v>
      </c>
      <c r="D31" s="74">
        <f>26/1000</f>
        <v>2.5999999999999999E-2</v>
      </c>
      <c r="E31" s="74">
        <f>27/1000</f>
        <v>2.7E-2</v>
      </c>
      <c r="F31" s="74">
        <f>28/1000</f>
        <v>2.8000000000000001E-2</v>
      </c>
      <c r="G31" s="4"/>
      <c r="H31" s="10"/>
      <c r="I31" s="81">
        <f>I25-I30/1000</f>
        <v>5.6277039475052318E-2</v>
      </c>
      <c r="J31" s="75">
        <f>1-I31/I25</f>
        <v>0.1511592727927723</v>
      </c>
      <c r="K31" s="81">
        <f>K25-K30/1000</f>
        <v>2.9688156727913112E-2</v>
      </c>
      <c r="L31" s="9"/>
      <c r="M31" s="9"/>
      <c r="P31" s="81">
        <f>P25-P30/1000</f>
        <v>6.3083393963102433E-2</v>
      </c>
    </row>
    <row r="32" spans="2:20" outlineLevel="1" x14ac:dyDescent="0.25">
      <c r="B32" s="8"/>
      <c r="C32" s="22" t="s">
        <v>7</v>
      </c>
      <c r="D32" s="15">
        <f>[1]!HECALC(8, 0, "P",D25 * 10^5, "T",D26, 1)</f>
        <v>16686.56065410018</v>
      </c>
      <c r="E32" s="15">
        <f>[1]!HECALC(8, 0, "P",E25 * 10^5, "T",E26, 1)</f>
        <v>16425.363530355109</v>
      </c>
      <c r="F32" s="15">
        <f>[1]!HECALC(8, 0, "P",F25 * 10^5, "T",F26, 1)</f>
        <v>16293.327304433238</v>
      </c>
      <c r="G32" s="4"/>
      <c r="H32" s="10"/>
      <c r="I32" s="15">
        <f>[1]!HECALC(8, 0, "P",I31 * 10^5, "T",I26, 1)</f>
        <v>17276.570567630803</v>
      </c>
      <c r="J32" s="7"/>
      <c r="K32" s="15">
        <f>[1]!HECALC(8, 0, "P",K31 * 10^5, "T",K26, 1)</f>
        <v>18850.387257397055</v>
      </c>
      <c r="L32" s="9"/>
      <c r="M32" s="9"/>
      <c r="P32" s="15">
        <f>[1]!HECALC(8, 0, "P",P31 * 10^5, "T",P26, 1)</f>
        <v>16972.073211090963</v>
      </c>
      <c r="T32" s="2"/>
    </row>
    <row r="33" spans="2:23" outlineLevel="1" x14ac:dyDescent="0.25">
      <c r="B33" s="8"/>
      <c r="C33" s="22" t="s">
        <v>8</v>
      </c>
      <c r="D33" s="16">
        <f>D23+D15</f>
        <v>44662.214971259033</v>
      </c>
      <c r="E33" s="16">
        <f>E23+E15</f>
        <v>38999.711281766373</v>
      </c>
      <c r="F33" s="16">
        <f>F23+F15</f>
        <v>38140.252067454363</v>
      </c>
      <c r="G33" s="4"/>
      <c r="H33" s="10"/>
      <c r="I33" s="16">
        <f>I23+I15</f>
        <v>46346.069125111222</v>
      </c>
      <c r="K33" s="16">
        <f>K23+K15</f>
        <v>47861.80075020036</v>
      </c>
      <c r="L33" s="9"/>
      <c r="M33" s="9"/>
      <c r="P33" s="16">
        <f>P23+P15</f>
        <v>45938.755309258544</v>
      </c>
      <c r="T33" s="2"/>
    </row>
    <row r="34" spans="2:23" x14ac:dyDescent="0.25">
      <c r="B34" s="8"/>
      <c r="C34" s="23" t="s">
        <v>9</v>
      </c>
      <c r="D34" s="17">
        <f>[1]!HECALC(3, 0, "P", D25 * 10^5, "T",D26, 1)</f>
        <v>0.55310750213941695</v>
      </c>
      <c r="E34" s="17">
        <f>[1]!HECALC(3, 0, "P", E25 * 10^5, "T",E26, 1)</f>
        <v>0.45544263226704779</v>
      </c>
      <c r="F34" s="17">
        <f>[1]!HECALC(3, 0, "P", F25 * 10^5, "T",F26, 1)</f>
        <v>0.45945421228187744</v>
      </c>
      <c r="G34" s="4"/>
      <c r="H34" s="10"/>
      <c r="I34" s="17">
        <f>[1]!HECALC(3, 0, "P", I31 * 10^5, "T",I26, 1)</f>
        <v>0.45240551015959579</v>
      </c>
      <c r="K34" s="17">
        <f>[1]!HECALC(3, 0, "P", K31 * 10^5, "T",K26, 1)</f>
        <v>0.22733451737583632</v>
      </c>
      <c r="L34" s="9"/>
      <c r="M34" s="9"/>
      <c r="P34" s="17">
        <f>[1]!HECALC(3, 0, "P", P31 * 10^5, "T",P26, 1)</f>
        <v>0.51395283567314853</v>
      </c>
      <c r="T34" s="2"/>
    </row>
    <row r="35" spans="2:23" outlineLevel="1" x14ac:dyDescent="0.25">
      <c r="B35" s="8"/>
      <c r="C35" s="22" t="s">
        <v>11</v>
      </c>
      <c r="D35" s="17">
        <f>D6/D34*3.6</f>
        <v>1399.3663022218502</v>
      </c>
      <c r="E35" s="17">
        <f>E6/E34*3.6</f>
        <v>1240.9905440485777</v>
      </c>
      <c r="F35" s="17">
        <f>F6/F34*3.6</f>
        <v>1175.3075400442892</v>
      </c>
      <c r="G35" s="4">
        <f>D35/D17</f>
        <v>0.65289606174165715</v>
      </c>
      <c r="H35" s="10"/>
      <c r="I35" s="17">
        <f>I6/I34*3.6</f>
        <v>1432.343296993452</v>
      </c>
      <c r="K35" s="17">
        <f>K6/K34*3.6</f>
        <v>2850.4250365495827</v>
      </c>
      <c r="L35" s="9"/>
      <c r="M35" s="9"/>
      <c r="P35" s="17">
        <f>P6/P34*3.6</f>
        <v>1260.8160808204968</v>
      </c>
    </row>
    <row r="36" spans="2:23" outlineLevel="1" x14ac:dyDescent="0.25">
      <c r="B36" s="8"/>
      <c r="C36" s="22" t="s">
        <v>10</v>
      </c>
      <c r="D36" s="17">
        <f>$D$6*D26^0.5/D25</f>
        <v>7897.9484949636571</v>
      </c>
      <c r="E36" s="17">
        <f>$D$6*E26^0.5/E25</f>
        <v>10680.353325677055</v>
      </c>
      <c r="F36" s="17">
        <f>$D$6*F26^0.5/F25</f>
        <v>10787.172400244735</v>
      </c>
      <c r="G36" s="4"/>
      <c r="H36" s="10"/>
      <c r="I36" s="17">
        <f>$D$6*I26^0.5/I31</f>
        <v>9376.4452319015909</v>
      </c>
      <c r="K36" s="17">
        <f>$D$6*K26^0.5/K31</f>
        <v>18183.222007170472</v>
      </c>
      <c r="L36" s="9"/>
      <c r="M36" s="9"/>
      <c r="P36" s="17">
        <f>$D$6*P26^0.5/P31</f>
        <v>8312.7991591654227</v>
      </c>
      <c r="T36" s="2"/>
    </row>
    <row r="37" spans="2:23" x14ac:dyDescent="0.25">
      <c r="B37" s="8"/>
      <c r="C37" s="24" t="s">
        <v>12</v>
      </c>
      <c r="D37" s="18">
        <v>2.2999999999999998</v>
      </c>
      <c r="E37" s="18">
        <v>2.5</v>
      </c>
      <c r="F37" s="18">
        <v>2.5</v>
      </c>
      <c r="G37" s="4"/>
      <c r="I37" s="18">
        <f>(I$69/I$13)^(1/4)</f>
        <v>2.3854985586069875</v>
      </c>
      <c r="K37" s="18">
        <f>(K$69/K$13)^(1/4)</f>
        <v>2.615763655320257</v>
      </c>
      <c r="L37" s="9"/>
      <c r="M37" s="9"/>
      <c r="P37" s="18">
        <f>(P$69/P$13)^(1/4)</f>
        <v>2.3264514951013395</v>
      </c>
      <c r="T37" s="2"/>
    </row>
    <row r="38" spans="2:23" x14ac:dyDescent="0.25">
      <c r="B38" s="8"/>
      <c r="C38" s="25" t="s">
        <v>4</v>
      </c>
      <c r="D38" s="19">
        <v>0.68</v>
      </c>
      <c r="E38" s="19">
        <v>0.65</v>
      </c>
      <c r="F38" s="19">
        <v>0.65</v>
      </c>
      <c r="G38" s="4"/>
      <c r="I38" s="19">
        <v>0.65</v>
      </c>
      <c r="K38" s="19">
        <v>0.65</v>
      </c>
      <c r="L38" s="9"/>
      <c r="M38" s="9"/>
      <c r="P38" s="19">
        <v>0.65</v>
      </c>
      <c r="T38" s="2"/>
    </row>
    <row r="39" spans="2:23" outlineLevel="1" x14ac:dyDescent="0.25">
      <c r="B39" s="8"/>
      <c r="C39" s="6" t="s">
        <v>6</v>
      </c>
      <c r="D39" s="12">
        <f>[1]!HECALC(9, 0, "P",D43* 10^5, "S",D32, 1)</f>
        <v>56281.898610704171</v>
      </c>
      <c r="E39" s="12">
        <f>[1]!HECALC(9, 0, "P",E43* 10^5, "S",E32, 1)</f>
        <v>49498.68213884662</v>
      </c>
      <c r="F39" s="12">
        <f>[1]!HECALC(9, 0, "P",F43* 10^5, "S",F32, 1)</f>
        <v>48258.023637026861</v>
      </c>
      <c r="G39" s="4"/>
      <c r="I39" s="12">
        <f>[1]!HECALC(9, 0, "P",I43* 10^5, "S",I32, 1)</f>
        <v>59315.666128468074</v>
      </c>
      <c r="K39" s="12">
        <f>[1]!HECALC(9, 0, "P",K43* 10^5, "S",K32, 1)</f>
        <v>63240.044328745375</v>
      </c>
      <c r="L39" s="9"/>
      <c r="M39" s="9"/>
      <c r="P39" s="12">
        <f>[1]!HECALC(9, 0, "P",P43* 10^5, "S",P32, 1)</f>
        <v>58298.362627990879</v>
      </c>
    </row>
    <row r="40" spans="2:23" outlineLevel="1" x14ac:dyDescent="0.25">
      <c r="B40" s="8"/>
      <c r="C40" s="6" t="s">
        <v>5</v>
      </c>
      <c r="D40" s="12">
        <f>D39-D33</f>
        <v>11619.683639445138</v>
      </c>
      <c r="E40" s="12">
        <f t="shared" ref="E40:F40" si="8">E39-E33</f>
        <v>10498.970857080247</v>
      </c>
      <c r="F40" s="12">
        <f t="shared" si="8"/>
        <v>10117.771569572498</v>
      </c>
      <c r="G40" s="4"/>
      <c r="I40" s="12">
        <f t="shared" ref="I40" si="9">I39-I33</f>
        <v>12969.597003356852</v>
      </c>
      <c r="K40" s="12">
        <f t="shared" ref="K40" si="10">K39-K33</f>
        <v>15378.243578545014</v>
      </c>
      <c r="L40" s="9"/>
      <c r="M40" s="9"/>
      <c r="P40" s="12">
        <f t="shared" ref="P40" si="11">P39-P33</f>
        <v>12359.607318732335</v>
      </c>
      <c r="R40" s="56" t="s">
        <v>55</v>
      </c>
      <c r="S40" s="57">
        <v>10.3</v>
      </c>
      <c r="T40" s="57">
        <v>1.65</v>
      </c>
      <c r="U40" s="57">
        <f>+S40-2*T40</f>
        <v>7.0000000000000009</v>
      </c>
      <c r="V40" s="58" t="str">
        <f>CONCATENATE(S40,"x",T40)</f>
        <v>10.3x1.65</v>
      </c>
      <c r="W40" s="59">
        <v>10</v>
      </c>
    </row>
    <row r="41" spans="2:23" outlineLevel="1" x14ac:dyDescent="0.25">
      <c r="B41" s="8"/>
      <c r="C41" s="6" t="s">
        <v>3</v>
      </c>
      <c r="D41" s="12">
        <f>D40/D38</f>
        <v>17087.770058007554</v>
      </c>
      <c r="E41" s="12">
        <f t="shared" ref="E41:F41" si="12">E40/E38</f>
        <v>16152.262857046533</v>
      </c>
      <c r="F41" s="12">
        <f t="shared" si="12"/>
        <v>15565.802414726921</v>
      </c>
      <c r="G41" s="4"/>
      <c r="I41" s="12">
        <f t="shared" ref="I41" si="13">I40/I38</f>
        <v>19953.226159010541</v>
      </c>
      <c r="K41" s="12">
        <f t="shared" ref="K41" si="14">K40/K38</f>
        <v>23658.836274684636</v>
      </c>
      <c r="L41" s="9"/>
      <c r="M41" s="9"/>
      <c r="P41" s="12">
        <f t="shared" ref="P41" si="15">P40/P38</f>
        <v>19014.780490357436</v>
      </c>
      <c r="R41" s="60" t="s">
        <v>56</v>
      </c>
      <c r="S41" s="61">
        <v>13.7</v>
      </c>
      <c r="T41" s="61">
        <v>1.65</v>
      </c>
      <c r="U41" s="61">
        <f t="shared" ref="U41:U57" si="16">+S41-2*T41</f>
        <v>10.399999999999999</v>
      </c>
      <c r="V41" s="42" t="str">
        <f>CONCATENATE(S41,"x",T41,"mm")</f>
        <v>13.7x1.65mm</v>
      </c>
      <c r="W41" s="62">
        <v>10</v>
      </c>
    </row>
    <row r="42" spans="2:23" outlineLevel="1" x14ac:dyDescent="0.25">
      <c r="B42" s="8"/>
      <c r="C42" s="45" t="s">
        <v>42</v>
      </c>
      <c r="D42" s="46">
        <f>D40/D38/1000*$D$6</f>
        <v>3673.870562471624</v>
      </c>
      <c r="E42" s="46">
        <f>E40/E38/1000*E24</f>
        <v>14516.566676006703</v>
      </c>
      <c r="F42" s="46">
        <f>F40/F38/1000*F24</f>
        <v>11374.124426793009</v>
      </c>
      <c r="G42" s="4"/>
      <c r="H42" s="10"/>
      <c r="I42" s="46">
        <f>I40/I38/1000*I24</f>
        <v>40312.541541382576</v>
      </c>
      <c r="J42" s="10"/>
      <c r="K42" s="46">
        <f>K40/K38/1000*K24</f>
        <v>54050.17402438799</v>
      </c>
      <c r="L42" s="9"/>
      <c r="M42" s="9"/>
      <c r="P42" s="46">
        <f>P40/P38/1000*P24</f>
        <v>37078.628484509252</v>
      </c>
      <c r="R42" s="60" t="s">
        <v>57</v>
      </c>
      <c r="S42" s="61">
        <v>17.149999999999999</v>
      </c>
      <c r="T42" s="61">
        <v>1.65</v>
      </c>
      <c r="U42" s="61">
        <f t="shared" si="16"/>
        <v>13.849999999999998</v>
      </c>
      <c r="V42" s="42" t="str">
        <f t="shared" ref="V42:V57" si="17">CONCATENATE(S42,"x",T42,"mm")</f>
        <v>17.15x1.65mm</v>
      </c>
      <c r="W42" s="62">
        <v>10</v>
      </c>
    </row>
    <row r="43" spans="2:23" x14ac:dyDescent="0.25">
      <c r="B43" s="8"/>
      <c r="C43" s="21" t="s">
        <v>0</v>
      </c>
      <c r="D43" s="20">
        <f>D37*D25</f>
        <v>0.14949999999999999</v>
      </c>
      <c r="E43" s="20">
        <f>E37*E25</f>
        <v>0.10800000000000001</v>
      </c>
      <c r="F43" s="20">
        <f>F37*F25</f>
        <v>0.10500000000000001</v>
      </c>
      <c r="G43" s="4"/>
      <c r="I43" s="20">
        <f>I37*I31</f>
        <v>0.13424879655040584</v>
      </c>
      <c r="K43" s="20">
        <f>K37*K31</f>
        <v>7.7657201362326678E-2</v>
      </c>
      <c r="L43" s="9"/>
      <c r="M43" s="9"/>
      <c r="P43" s="20">
        <f>P37*P31</f>
        <v>0.14676045620152647</v>
      </c>
      <c r="R43" s="60" t="s">
        <v>58</v>
      </c>
      <c r="S43" s="61">
        <v>21.34</v>
      </c>
      <c r="T43" s="61">
        <v>1.65</v>
      </c>
      <c r="U43" s="61">
        <f t="shared" si="16"/>
        <v>18.04</v>
      </c>
      <c r="V43" s="42" t="str">
        <f t="shared" si="17"/>
        <v>21.34x1.65mm</v>
      </c>
      <c r="W43" s="62">
        <v>5</v>
      </c>
    </row>
    <row r="44" spans="2:23" x14ac:dyDescent="0.25">
      <c r="B44" s="8"/>
      <c r="C44" s="22" t="s">
        <v>1</v>
      </c>
      <c r="D44" s="15">
        <f>[1]!HECALC(2, 0, "P",D43 * 10^5, "H",D46, 1)</f>
        <v>9.0050684152685463</v>
      </c>
      <c r="E44" s="15">
        <f>[1]!HECALC(2, 0, "P",E43 * 10^5, "H",E46, 1)</f>
        <v>7.7276165685914435</v>
      </c>
      <c r="F44" s="15">
        <f>[1]!HECALC(2, 0, "P",F43 * 10^5, "H",F46, 1)</f>
        <v>7.4500007774299357</v>
      </c>
      <c r="G44" s="4"/>
      <c r="I44" s="15">
        <f>[1]!HECALC(2, 0, "P",I43 * 10^5, "H",I46, 1)</f>
        <v>9.8698726193912574</v>
      </c>
      <c r="K44" s="15">
        <f>[1]!HECALC(2, 0, "P",K43 * 10^5, "H",K46, 1)</f>
        <v>10.853700521703233</v>
      </c>
      <c r="L44" s="9"/>
      <c r="M44" s="9"/>
      <c r="P44" s="15">
        <f>[1]!HECALC(2, 0, "P",P43 * 10^5, "H",P46, 1)</f>
        <v>9.616511962467758</v>
      </c>
      <c r="R44" s="60" t="s">
        <v>59</v>
      </c>
      <c r="S44" s="61">
        <v>26.67</v>
      </c>
      <c r="T44" s="61">
        <v>1.65</v>
      </c>
      <c r="U44" s="61">
        <f t="shared" si="16"/>
        <v>23.37</v>
      </c>
      <c r="V44" s="42" t="str">
        <f t="shared" si="17"/>
        <v>26.67x1.65mm</v>
      </c>
      <c r="W44" s="62">
        <v>5</v>
      </c>
    </row>
    <row r="45" spans="2:23" outlineLevel="1" x14ac:dyDescent="0.25">
      <c r="B45" s="8"/>
      <c r="C45" s="22" t="s">
        <v>7</v>
      </c>
      <c r="D45" s="15">
        <f>[1]!HECALC(8, 0, "P",D43 * 10^5, "T",D44, 1)</f>
        <v>17331.96515231071</v>
      </c>
      <c r="E45" s="15">
        <f>[1]!HECALC(8, 0, "P",E43 * 10^5, "T",E44, 1)</f>
        <v>17213.343516853984</v>
      </c>
      <c r="F45" s="15">
        <f>[1]!HECALC(8, 0, "P",F43 * 10^5, "T",F44, 1)</f>
        <v>17080.94300617278</v>
      </c>
      <c r="G45" s="4"/>
      <c r="I45" s="15">
        <f>[1]!HECALC(8, 0, "P",I43 * 10^5, "T",I44, 1)</f>
        <v>18036.848602228321</v>
      </c>
      <c r="K45" s="15">
        <f>[1]!HECALC(8, 0, "P",K43 * 10^5, "T",K44, 1)</f>
        <v>19675.315499337823</v>
      </c>
      <c r="L45" s="9"/>
      <c r="M45" s="9"/>
      <c r="P45" s="15">
        <f>[1]!HECALC(8, 0, "P",P43 * 10^5, "T",P44, 1)</f>
        <v>17714.386447881032</v>
      </c>
      <c r="R45" s="60" t="s">
        <v>60</v>
      </c>
      <c r="S45" s="61">
        <v>33.4</v>
      </c>
      <c r="T45" s="61">
        <v>2.77</v>
      </c>
      <c r="U45" s="61">
        <f t="shared" si="16"/>
        <v>27.86</v>
      </c>
      <c r="V45" s="42" t="str">
        <f t="shared" si="17"/>
        <v>33.4x2.77mm</v>
      </c>
      <c r="W45" s="62">
        <v>5</v>
      </c>
    </row>
    <row r="46" spans="2:23" outlineLevel="1" x14ac:dyDescent="0.25">
      <c r="B46" s="8"/>
      <c r="C46" s="22" t="s">
        <v>8</v>
      </c>
      <c r="D46" s="16">
        <f>D41+D33</f>
        <v>61749.985029266587</v>
      </c>
      <c r="E46" s="16">
        <f>E41+E33</f>
        <v>55151.974138812904</v>
      </c>
      <c r="F46" s="16">
        <f>F41+F33</f>
        <v>53706.05448218128</v>
      </c>
      <c r="G46" s="4"/>
      <c r="I46" s="16">
        <f>I41+I33</f>
        <v>66299.295284121763</v>
      </c>
      <c r="K46" s="16">
        <f>K41+K33</f>
        <v>71520.637024885</v>
      </c>
      <c r="L46" s="9"/>
      <c r="M46" s="9"/>
      <c r="P46" s="16">
        <f>P41+P33</f>
        <v>64953.53579961598</v>
      </c>
      <c r="R46" s="60" t="s">
        <v>61</v>
      </c>
      <c r="S46" s="61">
        <v>42.16</v>
      </c>
      <c r="T46" s="61">
        <v>2.77</v>
      </c>
      <c r="U46" s="61">
        <f t="shared" si="16"/>
        <v>36.619999999999997</v>
      </c>
      <c r="V46" s="42" t="str">
        <f t="shared" si="17"/>
        <v>42.16x2.77mm</v>
      </c>
      <c r="W46" s="62">
        <v>10</v>
      </c>
    </row>
    <row r="47" spans="2:23" x14ac:dyDescent="0.25">
      <c r="B47" s="8"/>
      <c r="C47" s="23" t="s">
        <v>9</v>
      </c>
      <c r="D47" s="17">
        <f>[1]!HECALC(3, 0, "P", D43 * 10^5, "T",D44, 1)</f>
        <v>0.8036498757786682</v>
      </c>
      <c r="E47" s="17">
        <f>[1]!HECALC(3, 0, "P", E43 * 10^5, "T",E44, 1)</f>
        <v>0.67687661139085054</v>
      </c>
      <c r="F47" s="17">
        <f>[1]!HECALC(3, 0, "P", F43 * 10^5, "T",F44, 1)</f>
        <v>0.68288143029830661</v>
      </c>
      <c r="G47" s="4"/>
      <c r="I47" s="17">
        <f>[1]!HECALC(3, 0, "P", I43 * 10^5, "T",I44, 1)</f>
        <v>0.65730806047187151</v>
      </c>
      <c r="K47" s="17">
        <f>[1]!HECALC(3, 0, "P", K43 * 10^5, "T",K44, 1)</f>
        <v>0.34501435552292881</v>
      </c>
      <c r="L47" s="9"/>
      <c r="M47" s="9"/>
      <c r="P47" s="17">
        <f>[1]!HECALC(3, 0, "P", P43 * 10^5, "T",P44, 1)</f>
        <v>0.73800395914017336</v>
      </c>
      <c r="R47" s="60" t="s">
        <v>62</v>
      </c>
      <c r="S47" s="61">
        <v>48.26</v>
      </c>
      <c r="T47" s="61">
        <v>2.77</v>
      </c>
      <c r="U47" s="61">
        <f t="shared" si="16"/>
        <v>42.72</v>
      </c>
      <c r="V47" s="42" t="str">
        <f t="shared" si="17"/>
        <v>48.26x2.77mm</v>
      </c>
      <c r="W47" s="62">
        <v>10</v>
      </c>
    </row>
    <row r="48" spans="2:23" outlineLevel="1" x14ac:dyDescent="0.25">
      <c r="B48" s="8"/>
      <c r="C48" s="22" t="s">
        <v>11</v>
      </c>
      <c r="D48" s="17">
        <f>D6/D47*3.6</f>
        <v>963.10597852088256</v>
      </c>
      <c r="E48" s="17">
        <f>E6/E47*3.6</f>
        <v>835.01186255885443</v>
      </c>
      <c r="F48" s="17">
        <f>F6/F47*3.6</f>
        <v>790.76685357238227</v>
      </c>
      <c r="G48" s="4">
        <f>D48/D35</f>
        <v>0.68824436960623292</v>
      </c>
      <c r="I48" s="17">
        <f>I6/I47*3.6</f>
        <v>985.83912014529471</v>
      </c>
      <c r="K48" s="17">
        <f>K6/K47*3.6</f>
        <v>1878.1827179852971</v>
      </c>
      <c r="L48" s="9"/>
      <c r="M48" s="9"/>
      <c r="P48" s="17">
        <f>P6/P47*3.6</f>
        <v>878.044070054808</v>
      </c>
      <c r="R48" s="60" t="s">
        <v>63</v>
      </c>
      <c r="S48" s="61">
        <v>60.3</v>
      </c>
      <c r="T48" s="61">
        <v>2.77</v>
      </c>
      <c r="U48" s="61">
        <f t="shared" si="16"/>
        <v>54.76</v>
      </c>
      <c r="V48" s="42" t="str">
        <f t="shared" si="17"/>
        <v>60.3x2.77mm</v>
      </c>
      <c r="W48" s="62">
        <v>10</v>
      </c>
    </row>
    <row r="49" spans="2:23" outlineLevel="1" x14ac:dyDescent="0.25">
      <c r="B49" s="8"/>
      <c r="C49" s="22" t="s">
        <v>10</v>
      </c>
      <c r="D49" s="17">
        <f>$D$6*D44^0.5/D43</f>
        <v>4315.5959374654412</v>
      </c>
      <c r="E49" s="17">
        <f>$D$6*E44^0.5/E43</f>
        <v>5533.9787469662451</v>
      </c>
      <c r="F49" s="17">
        <f>$D$6*F44^0.5/F43</f>
        <v>5588.9126225633918</v>
      </c>
      <c r="G49" s="4"/>
      <c r="I49" s="17">
        <f>$D$6*I44^0.5/I43</f>
        <v>5031.341924793981</v>
      </c>
      <c r="K49" s="17">
        <f>$D$6*K44^0.5/K43</f>
        <v>9121.0669137561417</v>
      </c>
      <c r="L49" s="9"/>
      <c r="M49" s="9"/>
      <c r="P49" s="17">
        <f>$D$6*P44^0.5/P43</f>
        <v>4542.9524891626079</v>
      </c>
      <c r="R49" s="56" t="s">
        <v>64</v>
      </c>
      <c r="S49" s="57">
        <v>73.03</v>
      </c>
      <c r="T49" s="57">
        <v>3.05</v>
      </c>
      <c r="U49" s="57">
        <f t="shared" si="16"/>
        <v>66.930000000000007</v>
      </c>
      <c r="V49" s="58" t="str">
        <f t="shared" si="17"/>
        <v>73.03x3.05mm</v>
      </c>
      <c r="W49" s="59">
        <v>10</v>
      </c>
    </row>
    <row r="50" spans="2:23" x14ac:dyDescent="0.25">
      <c r="B50" s="8"/>
      <c r="C50" s="24" t="s">
        <v>12</v>
      </c>
      <c r="D50" s="18">
        <v>2.1</v>
      </c>
      <c r="E50" s="18">
        <v>2.5</v>
      </c>
      <c r="F50" s="18">
        <v>2.5</v>
      </c>
      <c r="G50" s="4"/>
      <c r="I50" s="67">
        <f>(I$69/I$13)^(1/4)</f>
        <v>2.3854985586069875</v>
      </c>
      <c r="K50" s="67">
        <f>(K$69/K$13)^(1/4)</f>
        <v>2.615763655320257</v>
      </c>
      <c r="L50" s="9"/>
      <c r="M50" s="9"/>
      <c r="P50" s="67">
        <f>(P$69/P$13)^(1/4)</f>
        <v>2.3264514951013395</v>
      </c>
      <c r="R50" s="60" t="s">
        <v>65</v>
      </c>
      <c r="S50" s="61">
        <v>88.9</v>
      </c>
      <c r="T50" s="61">
        <v>3.05</v>
      </c>
      <c r="U50" s="61">
        <f t="shared" si="16"/>
        <v>82.800000000000011</v>
      </c>
      <c r="V50" s="42" t="str">
        <f t="shared" si="17"/>
        <v>88.9x3.05mm</v>
      </c>
      <c r="W50" s="62">
        <v>10</v>
      </c>
    </row>
    <row r="51" spans="2:23" x14ac:dyDescent="0.25">
      <c r="B51" s="8"/>
      <c r="C51" s="25" t="s">
        <v>4</v>
      </c>
      <c r="D51" s="19">
        <v>0.65</v>
      </c>
      <c r="E51" s="19">
        <v>0.65</v>
      </c>
      <c r="F51" s="19">
        <v>0.65</v>
      </c>
      <c r="G51" s="4"/>
      <c r="I51" s="19">
        <v>0.65</v>
      </c>
      <c r="K51" s="19">
        <v>0.65</v>
      </c>
      <c r="L51" s="9"/>
      <c r="M51" s="9"/>
      <c r="P51" s="19">
        <v>0.65</v>
      </c>
      <c r="R51" s="60" t="s">
        <v>66</v>
      </c>
      <c r="S51" s="61">
        <v>114.3</v>
      </c>
      <c r="T51" s="61">
        <v>3.05</v>
      </c>
      <c r="U51" s="61">
        <f t="shared" si="16"/>
        <v>108.2</v>
      </c>
      <c r="V51" s="42" t="str">
        <f t="shared" si="17"/>
        <v>114.3x3.05mm</v>
      </c>
      <c r="W51" s="62">
        <v>10</v>
      </c>
    </row>
    <row r="52" spans="2:23" outlineLevel="1" x14ac:dyDescent="0.25">
      <c r="B52" s="8"/>
      <c r="C52" s="6" t="s">
        <v>6</v>
      </c>
      <c r="D52" s="12">
        <f>[1]!HECALC(9, 0, "P",D56* 10^5, "S",D45, 1)</f>
        <v>77829.897621879907</v>
      </c>
      <c r="E52" s="12">
        <f>[1]!HECALC(9, 0, "P",E56* 10^5, "S",E45, 1)</f>
        <v>72823.371223808412</v>
      </c>
      <c r="F52" s="12">
        <f>[1]!HECALC(9, 0, "P",F56* 10^5, "S",F45, 1)</f>
        <v>70735.244371096371</v>
      </c>
      <c r="G52" s="4"/>
      <c r="I52" s="12">
        <f>[1]!HECALC(9, 0, "P",I56* 10^5, "S",I45, 1)</f>
        <v>87550.644242995142</v>
      </c>
      <c r="K52" s="12">
        <f>[1]!HECALC(9, 0, "P",K56* 10^5, "S",K45, 1)</f>
        <v>97927.050209765148</v>
      </c>
      <c r="L52" s="9"/>
      <c r="M52" s="9"/>
      <c r="P52" s="12">
        <f>[1]!HECALC(9, 0, "P",P56* 10^5, "S",P45, 1)</f>
        <v>84943.52369279346</v>
      </c>
      <c r="R52" s="63" t="s">
        <v>67</v>
      </c>
      <c r="S52" s="61">
        <v>141.30000000000001</v>
      </c>
      <c r="T52" s="61">
        <v>3.4</v>
      </c>
      <c r="U52" s="61">
        <f t="shared" si="16"/>
        <v>134.5</v>
      </c>
      <c r="V52" s="42" t="str">
        <f t="shared" si="17"/>
        <v>141.3x3.4mm</v>
      </c>
      <c r="W52" s="62">
        <v>10</v>
      </c>
    </row>
    <row r="53" spans="2:23" outlineLevel="1" x14ac:dyDescent="0.25">
      <c r="B53" s="8"/>
      <c r="C53" s="6" t="s">
        <v>5</v>
      </c>
      <c r="D53" s="12">
        <f>D52-D46</f>
        <v>16079.91259261332</v>
      </c>
      <c r="E53" s="12">
        <f>E52-E46</f>
        <v>17671.397084995508</v>
      </c>
      <c r="F53" s="12">
        <f>F52-F46</f>
        <v>17029.189888915091</v>
      </c>
      <c r="G53" s="4"/>
      <c r="I53" s="12">
        <f>I52-I46</f>
        <v>21251.348958873379</v>
      </c>
      <c r="K53" s="12">
        <f>K52-K46</f>
        <v>26406.413184880148</v>
      </c>
      <c r="L53" s="9"/>
      <c r="M53" s="9"/>
      <c r="P53" s="12">
        <f>P52-P46</f>
        <v>19989.98789317748</v>
      </c>
      <c r="R53" s="64" t="s">
        <v>68</v>
      </c>
      <c r="S53" s="61">
        <v>168.3</v>
      </c>
      <c r="T53" s="61">
        <v>3.4</v>
      </c>
      <c r="U53" s="61">
        <f t="shared" si="16"/>
        <v>161.5</v>
      </c>
      <c r="V53" s="42" t="str">
        <f t="shared" si="17"/>
        <v>168.3x3.4mm</v>
      </c>
      <c r="W53" s="62">
        <v>10</v>
      </c>
    </row>
    <row r="54" spans="2:23" outlineLevel="1" x14ac:dyDescent="0.25">
      <c r="B54" s="8"/>
      <c r="C54" s="6" t="s">
        <v>3</v>
      </c>
      <c r="D54" s="12">
        <f>D53/D51</f>
        <v>24738.327065558955</v>
      </c>
      <c r="E54" s="12">
        <f>E53/E51</f>
        <v>27186.764746146935</v>
      </c>
      <c r="F54" s="12">
        <f>F53/F51</f>
        <v>26198.753675253985</v>
      </c>
      <c r="G54" s="4"/>
      <c r="I54" s="12">
        <f>I53/I51</f>
        <v>32694.38301365135</v>
      </c>
      <c r="K54" s="12">
        <f>K53/K51</f>
        <v>40625.251053661763</v>
      </c>
      <c r="L54" s="9"/>
      <c r="M54" s="9"/>
      <c r="P54" s="12">
        <f>P53/P51</f>
        <v>30753.827527965354</v>
      </c>
      <c r="R54" s="64" t="s">
        <v>69</v>
      </c>
      <c r="S54" s="61">
        <v>219.1</v>
      </c>
      <c r="T54" s="61">
        <v>3.76</v>
      </c>
      <c r="U54" s="61">
        <f t="shared" si="16"/>
        <v>211.57999999999998</v>
      </c>
      <c r="V54" s="42" t="str">
        <f t="shared" si="17"/>
        <v>219.1x3.76mm</v>
      </c>
      <c r="W54" s="62">
        <v>10</v>
      </c>
    </row>
    <row r="55" spans="2:23" outlineLevel="1" x14ac:dyDescent="0.25">
      <c r="B55" s="8"/>
      <c r="C55" s="45" t="s">
        <v>42</v>
      </c>
      <c r="D55" s="46">
        <f>D53/D51/1000*$D$6</f>
        <v>5318.7403190951754</v>
      </c>
      <c r="E55" s="46">
        <f t="shared" ref="E55:F55" si="18">E53/E51/1000*E42</f>
        <v>394658.48314235045</v>
      </c>
      <c r="F55" s="46">
        <f t="shared" si="18"/>
        <v>297987.88412923948</v>
      </c>
      <c r="G55" s="4"/>
      <c r="H55" s="10"/>
      <c r="I55" s="46">
        <f t="shared" ref="I55" si="19">I53/I51/1000*I42</f>
        <v>1317993.6734076927</v>
      </c>
      <c r="J55" s="10"/>
      <c r="K55" s="46">
        <f t="shared" ref="K55" si="20">K53/K51/1000*K42</f>
        <v>2195801.8892348697</v>
      </c>
      <c r="L55" s="9"/>
      <c r="M55" s="9"/>
      <c r="P55" s="46">
        <f t="shared" ref="P55" si="21">P53/P51/1000*P42</f>
        <v>1140309.7453861008</v>
      </c>
      <c r="R55" s="64" t="s">
        <v>70</v>
      </c>
      <c r="S55" s="61">
        <v>273</v>
      </c>
      <c r="T55" s="61">
        <v>4.1900000000000004</v>
      </c>
      <c r="U55" s="61">
        <f t="shared" si="16"/>
        <v>264.62</v>
      </c>
      <c r="V55" s="42" t="str">
        <f t="shared" si="17"/>
        <v>273x4.19mm</v>
      </c>
      <c r="W55" s="62">
        <v>10</v>
      </c>
    </row>
    <row r="56" spans="2:23" x14ac:dyDescent="0.25">
      <c r="B56" s="8"/>
      <c r="C56" s="21" t="s">
        <v>0</v>
      </c>
      <c r="D56" s="20">
        <f>D50*D43</f>
        <v>0.31395000000000001</v>
      </c>
      <c r="E56" s="20">
        <f>E50*E43</f>
        <v>0.27</v>
      </c>
      <c r="F56" s="20">
        <f>F50*F43</f>
        <v>0.26250000000000001</v>
      </c>
      <c r="G56" s="4"/>
      <c r="I56" s="20">
        <f>I50*I43</f>
        <v>0.32025031066571585</v>
      </c>
      <c r="K56" s="20">
        <f>K50*K43</f>
        <v>0.20313288489746087</v>
      </c>
      <c r="L56" s="9"/>
      <c r="M56" s="9"/>
      <c r="P56" s="20">
        <f>P50*P43</f>
        <v>0.3414310827517959</v>
      </c>
      <c r="R56" s="64" t="s">
        <v>71</v>
      </c>
      <c r="S56" s="61">
        <v>323.89999999999998</v>
      </c>
      <c r="T56" s="61">
        <v>4.57</v>
      </c>
      <c r="U56" s="61">
        <f t="shared" si="16"/>
        <v>314.76</v>
      </c>
      <c r="V56" s="42" t="str">
        <f t="shared" si="17"/>
        <v>323.9x4.57mm</v>
      </c>
      <c r="W56" s="62">
        <v>10</v>
      </c>
    </row>
    <row r="57" spans="2:23" x14ac:dyDescent="0.25">
      <c r="B57" s="8"/>
      <c r="C57" s="22" t="s">
        <v>1</v>
      </c>
      <c r="D57" s="15">
        <f>[1]!HECALC(2, 0, "P",D56 * 10^5, "H",D59, 1)</f>
        <v>13.77743817091668</v>
      </c>
      <c r="E57" s="15">
        <f>[1]!HECALC(2, 0, "P",E56 * 10^5, "H",E59, 1)</f>
        <v>12.974737763168935</v>
      </c>
      <c r="F57" s="15">
        <f>[1]!HECALC(2, 0, "P",F56 * 10^5, "H",F59, 1)</f>
        <v>12.50766869753047</v>
      </c>
      <c r="G57" s="4"/>
      <c r="I57" s="15">
        <f>[1]!HECALC(2, 0, "P",I56 * 10^5, "H",I59, 1)</f>
        <v>16.171706076580296</v>
      </c>
      <c r="K57" s="15">
        <f>[1]!HECALC(2, 0, "P",K56 * 10^5, "H",K59, 1)</f>
        <v>18.678648767175368</v>
      </c>
      <c r="L57" s="9"/>
      <c r="M57" s="9"/>
      <c r="P57" s="15">
        <f>[1]!HECALC(2, 0, "P",P56 * 10^5, "H",P59, 1)</f>
        <v>15.545919758390808</v>
      </c>
      <c r="R57" s="64" t="s">
        <v>72</v>
      </c>
      <c r="S57" s="61">
        <v>355.6</v>
      </c>
      <c r="T57" s="61">
        <v>4.7699999999999996</v>
      </c>
      <c r="U57" s="61">
        <f t="shared" si="16"/>
        <v>346.06</v>
      </c>
      <c r="V57" s="42" t="str">
        <f t="shared" si="17"/>
        <v>355.6x4.77mm</v>
      </c>
      <c r="W57" s="62">
        <v>10</v>
      </c>
    </row>
    <row r="58" spans="2:23" outlineLevel="1" x14ac:dyDescent="0.25">
      <c r="B58" s="8"/>
      <c r="C58" s="22" t="s">
        <v>7</v>
      </c>
      <c r="D58" s="15">
        <f>[1]!HECALC(8, 0, "P",D56 * 10^5, "T",D57, 1)</f>
        <v>18001.46445346803</v>
      </c>
      <c r="E58" s="15">
        <f>[1]!HECALC(8, 0, "P",E56 * 10^5, "T",E57, 1)</f>
        <v>18003.477072803231</v>
      </c>
      <c r="F58" s="15">
        <f>[1]!HECALC(8, 0, "P",F56 * 10^5, "T",F57, 1)</f>
        <v>17870.751661063685</v>
      </c>
      <c r="G58" s="4"/>
      <c r="I58" s="15">
        <f>[1]!HECALC(8, 0, "P",I56 * 10^5, "T",I57, 1)</f>
        <v>18797.188923413196</v>
      </c>
      <c r="K58" s="15">
        <f>[1]!HECALC(8, 0, "P",K56 * 10^5, "T",K57, 1)</f>
        <v>20498.280101976361</v>
      </c>
      <c r="L58" s="9"/>
      <c r="M58" s="9"/>
      <c r="P58" s="15">
        <f>[1]!HECALC(8, 0, "P",P56 * 10^5, "T",P57, 1)</f>
        <v>18457.119023708856</v>
      </c>
      <c r="T58" s="2"/>
    </row>
    <row r="59" spans="2:23" outlineLevel="1" x14ac:dyDescent="0.25">
      <c r="B59" s="8"/>
      <c r="C59" s="22" t="s">
        <v>8</v>
      </c>
      <c r="D59" s="16">
        <f>D54+D46</f>
        <v>86488.312094825538</v>
      </c>
      <c r="E59" s="16">
        <f>E54+E46</f>
        <v>82338.738884959836</v>
      </c>
      <c r="F59" s="16">
        <f>F54+F46</f>
        <v>79904.808157435269</v>
      </c>
      <c r="G59" s="4"/>
      <c r="I59" s="16">
        <f>I54+I46</f>
        <v>98993.67829777312</v>
      </c>
      <c r="K59" s="16">
        <f>K54+K46</f>
        <v>112145.88807854676</v>
      </c>
      <c r="L59" s="9"/>
      <c r="M59" s="9"/>
      <c r="P59" s="16">
        <f>P54+P46</f>
        <v>95707.363327581334</v>
      </c>
      <c r="T59" s="2"/>
    </row>
    <row r="60" spans="2:23" x14ac:dyDescent="0.25">
      <c r="B60" s="8"/>
      <c r="C60" s="23" t="s">
        <v>9</v>
      </c>
      <c r="D60" s="17">
        <f>[1]!HECALC(3, 0, "P", D56 * 10^5, "T",D57, 1)</f>
        <v>1.1001727932098331</v>
      </c>
      <c r="E60" s="17">
        <f>[1]!HECALC(3, 0, "P", E56 * 10^5, "T",E57, 1)</f>
        <v>1.004941375863019</v>
      </c>
      <c r="F60" s="17">
        <f>[1]!HECALC(3, 0, "P", F56 * 10^5, "T",F57, 1)</f>
        <v>1.0138636595243431</v>
      </c>
      <c r="G60" s="4"/>
      <c r="I60" s="17">
        <f>[1]!HECALC(3, 0, "P", I56 * 10^5, "T",I57, 1)</f>
        <v>0.95467344929659037</v>
      </c>
      <c r="K60" s="17">
        <f>[1]!HECALC(3, 0, "P", K56 * 10^5, "T",K57, 1)</f>
        <v>0.52370071454163736</v>
      </c>
      <c r="L60" s="9"/>
      <c r="M60" s="9"/>
      <c r="P60" s="17">
        <f>[1]!HECALC(3, 0, "P", P56 * 10^5, "T",P57, 1)</f>
        <v>1.0592456095552589</v>
      </c>
      <c r="T60" s="2"/>
    </row>
    <row r="61" spans="2:23" outlineLevel="1" x14ac:dyDescent="0.25">
      <c r="B61" s="8"/>
      <c r="C61" s="22" t="s">
        <v>11</v>
      </c>
      <c r="D61" s="17">
        <f>D6/D60*3.6</f>
        <v>703.52585046372531</v>
      </c>
      <c r="E61" s="17">
        <f>E6/E60*3.6</f>
        <v>562.42086710244178</v>
      </c>
      <c r="F61" s="17">
        <f>F6/F60*3.6</f>
        <v>532.6159932128769</v>
      </c>
      <c r="G61" s="4">
        <f>D61/D48</f>
        <v>0.73047604952487699</v>
      </c>
      <c r="I61" s="17">
        <f>I6/I60*3.6</f>
        <v>678.76612728409975</v>
      </c>
      <c r="K61" s="17">
        <f>K6/K60*3.6</f>
        <v>1237.3479393992313</v>
      </c>
      <c r="L61" s="9"/>
      <c r="M61" s="9"/>
      <c r="P61" s="17">
        <f>P6/P60*3.6</f>
        <v>611.75613488931344</v>
      </c>
    </row>
    <row r="62" spans="2:23" outlineLevel="1" x14ac:dyDescent="0.25">
      <c r="B62" s="8"/>
      <c r="C62" s="22" t="s">
        <v>10</v>
      </c>
      <c r="D62" s="17">
        <f>$D$6*D57^0.5/D56</f>
        <v>2541.9219296178126</v>
      </c>
      <c r="E62" s="17">
        <f>$D$6*E57^0.5/E56</f>
        <v>2868.2961516337791</v>
      </c>
      <c r="F62" s="17">
        <f>$D$6*F57^0.5/F56</f>
        <v>2896.6587630828562</v>
      </c>
      <c r="G62" s="4"/>
      <c r="I62" s="17">
        <f>$D$6*I57^0.5/I56</f>
        <v>2699.770327945701</v>
      </c>
      <c r="K62" s="17">
        <f>$D$6*K57^0.5/K56</f>
        <v>4574.3664352089299</v>
      </c>
      <c r="L62" s="9"/>
      <c r="M62" s="9"/>
      <c r="P62" s="17">
        <f>$D$6*P57^0.5/P56</f>
        <v>2482.8107406273475</v>
      </c>
      <c r="T62" s="2"/>
    </row>
    <row r="63" spans="2:23" x14ac:dyDescent="0.25">
      <c r="B63" s="8"/>
      <c r="C63" s="24" t="s">
        <v>12</v>
      </c>
      <c r="D63" s="18">
        <v>2</v>
      </c>
      <c r="E63" s="18">
        <v>2.5</v>
      </c>
      <c r="F63" s="18">
        <v>2.5</v>
      </c>
      <c r="G63" s="4"/>
      <c r="I63" s="67">
        <f>(I$69/I$13)^(1/4)</f>
        <v>2.3854985586069875</v>
      </c>
      <c r="K63" s="67">
        <f>(K$69/K$13)^(1/4)</f>
        <v>2.615763655320257</v>
      </c>
      <c r="L63" s="9"/>
      <c r="M63" s="9"/>
      <c r="P63" s="67">
        <f>(P$69/P$13)^(1/4)</f>
        <v>2.3264514951013395</v>
      </c>
      <c r="T63" s="2"/>
    </row>
    <row r="64" spans="2:23" x14ac:dyDescent="0.25">
      <c r="B64" s="8"/>
      <c r="C64" s="25" t="s">
        <v>4</v>
      </c>
      <c r="D64" s="19">
        <v>0.65</v>
      </c>
      <c r="E64" s="19">
        <v>0.65</v>
      </c>
      <c r="F64" s="19">
        <v>0.65</v>
      </c>
      <c r="G64" s="4"/>
      <c r="I64" s="19">
        <v>0.65</v>
      </c>
      <c r="K64" s="19">
        <v>0.65</v>
      </c>
      <c r="L64" s="9"/>
      <c r="M64" s="9"/>
      <c r="P64" s="19">
        <v>0.65</v>
      </c>
      <c r="T64" s="2"/>
    </row>
    <row r="65" spans="2:20" outlineLevel="1" x14ac:dyDescent="0.25">
      <c r="B65" s="8"/>
      <c r="C65" s="6" t="s">
        <v>6</v>
      </c>
      <c r="D65" s="12">
        <f>[1]!HECALC(9, 0, "P",D69* 10^5, "S",D58, 1)</f>
        <v>109305.27425889275</v>
      </c>
      <c r="E65" s="12">
        <f>[1]!HECALC(9, 0, "P",E69* 10^5, "S",E58, 1)</f>
        <v>112112.4190868501</v>
      </c>
      <c r="F65" s="12">
        <f>[1]!HECALC(9, 0, "P",F69* 10^5, "S",F58, 1)</f>
        <v>108596.83021986944</v>
      </c>
      <c r="G65" s="4"/>
      <c r="I65" s="12">
        <f>[1]!HECALC(9, 0, "P",I69* 10^5, "S",I58, 1)</f>
        <v>141979.68610387502</v>
      </c>
      <c r="K65" s="12">
        <f>[1]!HECALC(9, 0, "P",K69* 10^5, "S",K58, 1)</f>
        <v>191161.91788918752</v>
      </c>
      <c r="L65" s="9"/>
      <c r="M65" s="9"/>
      <c r="P65" s="12">
        <f>[1]!HECALC(9, 0, "P",P69* 10^5, "S",P58, 1)</f>
        <v>133927.36812106794</v>
      </c>
    </row>
    <row r="66" spans="2:20" outlineLevel="1" x14ac:dyDescent="0.25">
      <c r="B66" s="8"/>
      <c r="C66" s="6" t="s">
        <v>5</v>
      </c>
      <c r="D66" s="12">
        <f>D65-D59</f>
        <v>22816.962164067212</v>
      </c>
      <c r="E66" s="12">
        <f>E65-E59</f>
        <v>29773.680201890267</v>
      </c>
      <c r="F66" s="12">
        <f>F65-F59</f>
        <v>28692.022062434175</v>
      </c>
      <c r="G66" s="4"/>
      <c r="I66" s="12">
        <f>I65-I59</f>
        <v>42986.007806101901</v>
      </c>
      <c r="K66" s="12">
        <f>K65-K59</f>
        <v>79016.029810640757</v>
      </c>
      <c r="L66" s="9"/>
      <c r="M66" s="9"/>
      <c r="P66" s="12">
        <f>P65-P59</f>
        <v>38220.004793486602</v>
      </c>
      <c r="T66" s="2"/>
    </row>
    <row r="67" spans="2:20" outlineLevel="1" x14ac:dyDescent="0.25">
      <c r="B67" s="8"/>
      <c r="C67" s="6" t="s">
        <v>3</v>
      </c>
      <c r="D67" s="12">
        <f>D66/D64</f>
        <v>35103.018713949554</v>
      </c>
      <c r="E67" s="12">
        <f>E66/E64</f>
        <v>45805.661849061951</v>
      </c>
      <c r="F67" s="12">
        <f>F66/F64</f>
        <v>44141.572403744882</v>
      </c>
      <c r="G67" s="4"/>
      <c r="I67" s="12">
        <f>I66/I64</f>
        <v>66132.319701695233</v>
      </c>
      <c r="K67" s="12">
        <f>K66/K64</f>
        <v>121563.12278560115</v>
      </c>
      <c r="L67" s="9"/>
      <c r="M67" s="9"/>
      <c r="P67" s="12">
        <f>P66/P64</f>
        <v>58800.007374594767</v>
      </c>
      <c r="T67" s="2"/>
    </row>
    <row r="68" spans="2:20" outlineLevel="1" x14ac:dyDescent="0.25">
      <c r="B68" s="8"/>
      <c r="C68" s="45" t="s">
        <v>42</v>
      </c>
      <c r="D68" s="46">
        <f>D66/D64/1000*$D$6</f>
        <v>7547.1490234991534</v>
      </c>
      <c r="E68" s="46">
        <f t="shared" ref="E68:F68" si="22">E66/E64/1000*E55</f>
        <v>18077593.02468222</v>
      </c>
      <c r="F68" s="46">
        <f t="shared" si="22"/>
        <v>13153653.762729565</v>
      </c>
      <c r="G68" s="4"/>
      <c r="H68" s="10"/>
      <c r="I68" s="46">
        <f t="shared" ref="I68" si="23">I66/I64/1000*I55</f>
        <v>87161978.974609241</v>
      </c>
      <c r="J68" s="10"/>
      <c r="K68" s="46">
        <f t="shared" ref="K68" si="24">K66/K64/1000*K55</f>
        <v>266928534.67391345</v>
      </c>
      <c r="L68" s="9"/>
      <c r="M68" s="9"/>
      <c r="P68" s="46">
        <f t="shared" ref="P68" si="25">P66/P64/1000*P55</f>
        <v>67050221.438025005</v>
      </c>
      <c r="T68" s="2"/>
    </row>
    <row r="69" spans="2:20" x14ac:dyDescent="0.25">
      <c r="B69" s="8"/>
      <c r="C69" s="21" t="s">
        <v>0</v>
      </c>
      <c r="D69" s="20">
        <f>D63*D56</f>
        <v>0.62790000000000001</v>
      </c>
      <c r="E69" s="20">
        <f>E63*E56</f>
        <v>0.67500000000000004</v>
      </c>
      <c r="F69" s="20">
        <f>F63*F56</f>
        <v>0.65625</v>
      </c>
      <c r="G69" s="4"/>
      <c r="I69" s="68">
        <v>0.9</v>
      </c>
      <c r="K69" s="68">
        <v>0.9</v>
      </c>
      <c r="L69" s="9"/>
      <c r="M69" s="9"/>
      <c r="P69" s="68">
        <v>0.9</v>
      </c>
      <c r="T69" s="2"/>
    </row>
    <row r="70" spans="2:20" x14ac:dyDescent="0.25">
      <c r="B70" s="8"/>
      <c r="C70" s="22" t="s">
        <v>1</v>
      </c>
      <c r="D70" s="15">
        <f>[1]!HECALC(2, 0, "P",D69 * 10^5, "H",D72, 1)</f>
        <v>20.534847071711027</v>
      </c>
      <c r="E70" s="15">
        <f>[1]!HECALC(2, 0, "P",E69 * 10^5, "H",E72, 1)</f>
        <v>21.793024151587939</v>
      </c>
      <c r="F70" s="15">
        <f>[1]!HECALC(2, 0, "P",F69 * 10^5, "H",F72, 1)</f>
        <v>21.007222340167875</v>
      </c>
      <c r="G70" s="4"/>
      <c r="I70" s="15">
        <f>[1]!HECALC(2, 0, "P",I69 * 10^5, "H",I72, 1)</f>
        <v>28.889673331565447</v>
      </c>
      <c r="K70" s="15">
        <f>[1]!HECALC(2, 0, "P",K69 * 10^5, "H",K72, 1)</f>
        <v>42.056020678393487</v>
      </c>
      <c r="L70" s="9"/>
      <c r="M70" s="9"/>
      <c r="P70" s="15">
        <f>[1]!HECALC(2, 0, "P",P69 * 10^5, "H",P72, 1)</f>
        <v>26.855003109014199</v>
      </c>
    </row>
    <row r="71" spans="2:20" outlineLevel="1" x14ac:dyDescent="0.25">
      <c r="B71" s="8"/>
      <c r="C71" s="22" t="s">
        <v>7</v>
      </c>
      <c r="D71" s="15">
        <f>[1]!HECALC(8, 0, "P",D69 * 10^5, "T",D70, 1)</f>
        <v>18636.846738625089</v>
      </c>
      <c r="E71" s="15">
        <f>[1]!HECALC(8, 0, "P",E69 * 10^5, "T",E70, 1)</f>
        <v>18796.304031355838</v>
      </c>
      <c r="F71" s="15">
        <f>[1]!HECALC(8, 0, "P",F69 * 10^5, "T",F70, 1)</f>
        <v>18663.316561068146</v>
      </c>
      <c r="G71" s="4"/>
      <c r="I71" s="15">
        <f>[1]!HECALC(8, 0, "P",I69 * 10^5, "T",I70, 1)</f>
        <v>19666.990463689195</v>
      </c>
      <c r="K71" s="15">
        <f>[1]!HECALC(8, 0, "P",K69 * 10^5, "T",K70, 1)</f>
        <v>21623.206552983855</v>
      </c>
      <c r="L71" s="9"/>
      <c r="M71" s="9"/>
      <c r="P71" s="15">
        <f>[1]!HECALC(8, 0, "P",P69 * 10^5, "T",P70, 1)</f>
        <v>19285.845689981648</v>
      </c>
      <c r="T71" s="2"/>
    </row>
    <row r="72" spans="2:20" outlineLevel="1" x14ac:dyDescent="0.25">
      <c r="B72" s="8"/>
      <c r="C72" s="22" t="s">
        <v>8</v>
      </c>
      <c r="D72" s="16">
        <f>D67+D59</f>
        <v>121591.33080877509</v>
      </c>
      <c r="E72" s="16">
        <f>E67+E59</f>
        <v>128144.40073402179</v>
      </c>
      <c r="F72" s="16">
        <f>F67+F59</f>
        <v>124046.38056118015</v>
      </c>
      <c r="G72" s="4"/>
      <c r="I72" s="16">
        <f>I67+I59</f>
        <v>165125.99799946835</v>
      </c>
      <c r="K72" s="16">
        <f>K67+K59</f>
        <v>233709.01086414792</v>
      </c>
      <c r="L72" s="9"/>
      <c r="M72" s="9"/>
      <c r="P72" s="16">
        <f>P67+P59</f>
        <v>154507.37070217609</v>
      </c>
      <c r="T72" s="2"/>
    </row>
    <row r="73" spans="2:20" x14ac:dyDescent="0.25">
      <c r="B73" s="8"/>
      <c r="C73" s="23" t="s">
        <v>9</v>
      </c>
      <c r="D73" s="17">
        <f>[1]!HECALC(3, 0, "P", D69 * 10^5, "T",D70, 1)</f>
        <v>1.4721655870686723</v>
      </c>
      <c r="E73" s="17">
        <f>[1]!HECALC(3, 0, "P", E69 * 10^5, "T",E70, 1)</f>
        <v>1.4905878667159878</v>
      </c>
      <c r="F73" s="17">
        <f>[1]!HECALC(3, 0, "P", F69 * 10^5, "T",F70, 1)</f>
        <v>1.5037835669348738</v>
      </c>
      <c r="G73" s="4"/>
      <c r="I73" s="17">
        <f>[1]!HECALC(3, 0, "P", I69 * 10^5, "T",I70, 1)</f>
        <v>1.4967533649805571</v>
      </c>
      <c r="K73" s="17">
        <f>[1]!HECALC(3, 0, "P", K69 * 10^5, "T",K70, 1)</f>
        <v>1.0278174437122838</v>
      </c>
      <c r="L73" s="9"/>
      <c r="M73" s="9"/>
      <c r="P73" s="17">
        <f>[1]!HECALC(3, 0, "P", P69 * 10^5, "T",P70, 1)</f>
        <v>1.6105550477168873</v>
      </c>
      <c r="T73" s="2"/>
    </row>
    <row r="74" spans="2:20" outlineLevel="1" x14ac:dyDescent="0.25">
      <c r="B74" s="8"/>
      <c r="C74" s="22" t="s">
        <v>11</v>
      </c>
      <c r="D74" s="17">
        <f>D6/D73*3.6</f>
        <v>525.756074451627</v>
      </c>
      <c r="E74" s="17">
        <f>E6/E73*3.6</f>
        <v>379.1792571378092</v>
      </c>
      <c r="F74" s="17">
        <f>F6/F73*3.6</f>
        <v>359.09422863335919</v>
      </c>
      <c r="G74" s="4">
        <f>D74/D61</f>
        <v>0.74731592891018528</v>
      </c>
      <c r="I74" s="17">
        <f>I6/I73*3.6</f>
        <v>432.93705907814513</v>
      </c>
      <c r="K74" s="17">
        <f>K6/K73*3.6</f>
        <v>630.46215450435011</v>
      </c>
      <c r="L74" s="9"/>
      <c r="M74" s="9"/>
      <c r="P74" s="17">
        <f>P6/P73*3.6</f>
        <v>402.34576329359294</v>
      </c>
    </row>
    <row r="75" spans="2:20" outlineLevel="1" x14ac:dyDescent="0.25">
      <c r="B75" s="8"/>
      <c r="C75" s="22" t="s">
        <v>10</v>
      </c>
      <c r="D75" s="17">
        <f>$D$6*D70^0.5/D69</f>
        <v>1551.6498126109971</v>
      </c>
      <c r="E75" s="17">
        <f>$D$6*E70^0.5/E69</f>
        <v>1486.93997480904</v>
      </c>
      <c r="F75" s="17">
        <f>$D$6*F70^0.5/F69</f>
        <v>1501.5972336197906</v>
      </c>
      <c r="G75" s="4"/>
      <c r="I75" s="17">
        <f>$D$6*I70^0.5/I69</f>
        <v>1284.0066294161829</v>
      </c>
      <c r="K75" s="17">
        <f>$D$6*K70^0.5/K69</f>
        <v>1549.2090996355219</v>
      </c>
      <c r="L75" s="9"/>
      <c r="M75" s="9"/>
      <c r="P75" s="17">
        <f>$D$6*P70^0.5/P69</f>
        <v>1237.9655346895715</v>
      </c>
      <c r="T75" s="2"/>
    </row>
    <row r="76" spans="2:20" x14ac:dyDescent="0.25">
      <c r="B76" s="8"/>
      <c r="C76" s="24" t="s">
        <v>12</v>
      </c>
      <c r="D76" s="18">
        <v>1.95</v>
      </c>
      <c r="E76" s="18">
        <v>2.5</v>
      </c>
      <c r="F76" s="18">
        <v>2.5</v>
      </c>
      <c r="G76" s="4"/>
      <c r="I76" s="67">
        <f>I82/I69</f>
        <v>1.3333333333333333</v>
      </c>
      <c r="K76" s="67">
        <f>K82/K69</f>
        <v>1.3333333333333333</v>
      </c>
      <c r="L76" s="9"/>
      <c r="M76" s="9"/>
      <c r="P76" s="67">
        <f>P82/P69</f>
        <v>1.3333333333333333</v>
      </c>
      <c r="T76" s="2"/>
    </row>
    <row r="77" spans="2:20" ht="18.75" customHeight="1" x14ac:dyDescent="0.25">
      <c r="B77" s="8"/>
      <c r="C77" s="25" t="s">
        <v>4</v>
      </c>
      <c r="D77" s="19">
        <v>0.65</v>
      </c>
      <c r="E77" s="19">
        <v>0.65</v>
      </c>
      <c r="F77" s="19">
        <v>0.65</v>
      </c>
      <c r="G77" s="4"/>
      <c r="I77" s="19">
        <v>0.65</v>
      </c>
      <c r="K77" s="19">
        <v>0.65</v>
      </c>
      <c r="L77" s="9"/>
      <c r="M77" s="9"/>
      <c r="P77" s="19">
        <v>0.65</v>
      </c>
      <c r="T77" s="2"/>
    </row>
    <row r="78" spans="2:20" outlineLevel="1" x14ac:dyDescent="0.25">
      <c r="B78" s="8"/>
      <c r="C78" s="6" t="s">
        <v>6</v>
      </c>
      <c r="D78" s="12">
        <f>[1]!HECALC(9, 0, "P",D82* 10^5, "S",D71, 1)</f>
        <v>154284.9195741849</v>
      </c>
      <c r="E78" s="12">
        <f>[1]!HECALC(9, 0, "P",E82* 10^5, "S",E71, 1)</f>
        <v>178359.60006338544</v>
      </c>
      <c r="F78" s="12">
        <f>[1]!HECALC(9, 0, "P",F82* 10^5, "S",F71, 1)</f>
        <v>172439.35597920622</v>
      </c>
      <c r="G78" s="4"/>
      <c r="I78" s="12">
        <f>[1]!HECALC(9, 0, "P",I82* 10^5, "S",I71, 1)</f>
        <v>183468.16450599045</v>
      </c>
      <c r="K78" s="12">
        <f>[1]!HECALC(9, 0, "P",K82* 10^5, "S",K71, 1)</f>
        <v>260415.04694507032</v>
      </c>
      <c r="L78" s="9"/>
      <c r="M78" s="9"/>
      <c r="P78" s="12">
        <f>[1]!HECALC(9, 0, "P",P82* 10^5, "S",P71, 1)</f>
        <v>171554.19756765035</v>
      </c>
    </row>
    <row r="79" spans="2:20" outlineLevel="1" x14ac:dyDescent="0.25">
      <c r="B79" s="8"/>
      <c r="C79" s="6" t="s">
        <v>5</v>
      </c>
      <c r="D79" s="12">
        <f>D78-D72</f>
        <v>32693.588765409804</v>
      </c>
      <c r="E79" s="12">
        <f>E78-E72</f>
        <v>50215.199329363648</v>
      </c>
      <c r="F79" s="12">
        <f>F78-F72</f>
        <v>48392.975418026064</v>
      </c>
      <c r="G79" s="4"/>
      <c r="I79" s="12">
        <f>I78-I72</f>
        <v>18342.166506522102</v>
      </c>
      <c r="K79" s="12">
        <f>K78-K72</f>
        <v>26706.036080922408</v>
      </c>
      <c r="L79" s="9"/>
      <c r="M79" s="9"/>
      <c r="P79" s="12">
        <f>P78-P72</f>
        <v>17046.826865474257</v>
      </c>
      <c r="T79" s="2"/>
    </row>
    <row r="80" spans="2:20" outlineLevel="1" x14ac:dyDescent="0.25">
      <c r="B80" s="8"/>
      <c r="C80" s="6" t="s">
        <v>3</v>
      </c>
      <c r="D80" s="12">
        <f>D79/D77</f>
        <v>50297.828869861238</v>
      </c>
      <c r="E80" s="12">
        <f>E79/E77</f>
        <v>77254.152814405606</v>
      </c>
      <c r="F80" s="12">
        <f>F79/F77</f>
        <v>74450.731412347784</v>
      </c>
      <c r="G80" s="4"/>
      <c r="I80" s="12">
        <f>I79/I77</f>
        <v>28218.717702341695</v>
      </c>
      <c r="K80" s="12">
        <f>K79/K77</f>
        <v>41086.209355265244</v>
      </c>
      <c r="L80" s="9"/>
      <c r="M80" s="9"/>
      <c r="P80" s="12">
        <f>P79/P77</f>
        <v>26225.887485345011</v>
      </c>
      <c r="T80" s="2"/>
    </row>
    <row r="81" spans="2:20" outlineLevel="1" x14ac:dyDescent="0.25">
      <c r="B81" s="8"/>
      <c r="C81" s="45" t="s">
        <v>42</v>
      </c>
      <c r="D81" s="46">
        <f>D79/D77/1000*$D$6</f>
        <v>10814.033207020166</v>
      </c>
      <c r="E81" s="46">
        <f t="shared" ref="E81:F81" si="26">E79/E77/1000*E68</f>
        <v>1396569134.045433</v>
      </c>
      <c r="F81" s="46">
        <f t="shared" si="26"/>
        <v>979299143.37999654</v>
      </c>
      <c r="G81" s="4"/>
      <c r="H81" s="10"/>
      <c r="I81" s="46">
        <f t="shared" ref="I81" si="27">I79/I77/1000*I68</f>
        <v>2459599279.0619407</v>
      </c>
      <c r="J81" s="10"/>
      <c r="K81" s="46">
        <f t="shared" ref="K81" si="28">K79/K77/1000*K68</f>
        <v>10967081658.506586</v>
      </c>
      <c r="L81" s="9"/>
      <c r="M81" s="9"/>
      <c r="P81" s="46">
        <f t="shared" ref="P81" si="29">P79/P77/1000*P68</f>
        <v>1758451563.3011119</v>
      </c>
      <c r="T81" s="2"/>
    </row>
    <row r="82" spans="2:20" x14ac:dyDescent="0.25">
      <c r="B82" s="8"/>
      <c r="C82" s="26" t="s">
        <v>0</v>
      </c>
      <c r="D82" s="27">
        <f>D76*D69</f>
        <v>1.224405</v>
      </c>
      <c r="E82" s="27">
        <f>E76*E69</f>
        <v>1.6875</v>
      </c>
      <c r="F82" s="27">
        <f>F76*F69</f>
        <v>1.640625</v>
      </c>
      <c r="G82" s="4"/>
      <c r="I82" s="69">
        <v>1.2</v>
      </c>
      <c r="K82" s="69">
        <v>1.2</v>
      </c>
      <c r="L82" s="9"/>
      <c r="M82" s="9"/>
      <c r="P82" s="69">
        <v>1.2</v>
      </c>
      <c r="T82" s="2"/>
    </row>
    <row r="83" spans="2:20" x14ac:dyDescent="0.25">
      <c r="B83" s="8"/>
      <c r="C83" s="26" t="s">
        <v>1</v>
      </c>
      <c r="D83" s="28">
        <f>[1]!HECALC(2, 0, "P",D82 * 10^5, "H",D85, 1)</f>
        <v>30.196082241216072</v>
      </c>
      <c r="E83" s="28">
        <f>[1]!HECALC(2, 0, "P",E82 * 10^5, "H",E85, 1)</f>
        <v>36.621965580706622</v>
      </c>
      <c r="F83" s="28">
        <f>[1]!HECALC(2, 0, "P",F82 * 10^5, "H",F85, 1)</f>
        <v>35.299578398106192</v>
      </c>
      <c r="G83" s="4"/>
      <c r="I83" s="28">
        <f>[1]!HECALC(2, 0, "P",I82 * 10^5, "H",I85, 1)</f>
        <v>34.307003610039047</v>
      </c>
      <c r="K83" s="28">
        <f>[1]!HECALC(2, 0, "P",K82 * 10^5, "H",K85, 1)</f>
        <v>49.948000679327976</v>
      </c>
      <c r="L83" s="9"/>
      <c r="M83" s="9"/>
      <c r="P83" s="28">
        <f>[1]!HECALC(2, 0, "P",P82 * 10^5, "H",P85, 1)</f>
        <v>31.88952684568034</v>
      </c>
    </row>
    <row r="84" spans="2:20" outlineLevel="1" x14ac:dyDescent="0.25">
      <c r="B84" s="8"/>
      <c r="C84" s="6" t="s">
        <v>7</v>
      </c>
      <c r="D84" s="12">
        <f>[1]!HECALC(8, 0, "P",D82 * 10^5, "T",D83, 1)</f>
        <v>19255.009930870699</v>
      </c>
      <c r="E84" s="12">
        <f>[1]!HECALC(8, 0, "P",E82 * 10^5, "T",E83, 1)</f>
        <v>19592.323186431353</v>
      </c>
      <c r="F84" s="12">
        <f>[1]!HECALC(8, 0, "P",F82 * 10^5, "T",F83, 1)</f>
        <v>19459.156295894918</v>
      </c>
      <c r="G84" s="4"/>
      <c r="I84" s="12">
        <f>[1]!HECALC(8, 0, "P",I82 * 10^5, "T",I83, 1)</f>
        <v>19963.127638647402</v>
      </c>
      <c r="K84" s="12">
        <f>[1]!HECALC(8, 0, "P",K82 * 10^5, "T",K83, 1)</f>
        <v>21919.381697668814</v>
      </c>
      <c r="L84" s="9"/>
      <c r="M84" s="9"/>
      <c r="P84" s="12">
        <f>[1]!HECALC(8, 0, "P",P82 * 10^5, "T",P83, 1)</f>
        <v>19581.925661538746</v>
      </c>
      <c r="T84" s="2"/>
    </row>
    <row r="85" spans="2:20" outlineLevel="1" x14ac:dyDescent="0.25">
      <c r="B85" s="8"/>
      <c r="C85" s="6" t="s">
        <v>8</v>
      </c>
      <c r="D85" s="14">
        <f>D80+D72</f>
        <v>171889.15967863632</v>
      </c>
      <c r="E85" s="14">
        <f>E80+E72</f>
        <v>205398.55354842742</v>
      </c>
      <c r="F85" s="14">
        <f>F80+F72</f>
        <v>198497.11197352794</v>
      </c>
      <c r="G85" s="4"/>
      <c r="I85" s="14">
        <f>I80+I72</f>
        <v>193344.71570181006</v>
      </c>
      <c r="K85" s="14">
        <f>K80+K72</f>
        <v>274795.22021941317</v>
      </c>
      <c r="L85" s="9"/>
      <c r="M85" s="9"/>
      <c r="P85" s="14">
        <f>P80+P72</f>
        <v>180733.2581875211</v>
      </c>
      <c r="T85" s="2"/>
    </row>
    <row r="86" spans="2:20" x14ac:dyDescent="0.25">
      <c r="B86" s="8"/>
      <c r="C86" s="11" t="s">
        <v>9</v>
      </c>
      <c r="D86" s="13">
        <f>[1]!HECALC(3, 0, "P", D82 * 10^5, "T",D83, 1)</f>
        <v>1.9464547037900555</v>
      </c>
      <c r="E86" s="13">
        <f>[1]!HECALC(3, 0, "P", E82 * 10^5, "T",E83, 1)</f>
        <v>2.2085575106273825</v>
      </c>
      <c r="F86" s="13">
        <f>[1]!HECALC(3, 0, "P", F82 * 10^5, "T",F83, 1)</f>
        <v>2.2279936099604485</v>
      </c>
      <c r="G86" s="4"/>
      <c r="I86" s="13">
        <f>[1]!HECALC(3, 0, "P", I82 * 10^5, "T",I83, 1)</f>
        <v>1.6787300036848949</v>
      </c>
      <c r="K86" s="13">
        <f>[1]!HECALC(3, 0, "P", K82 * 10^5, "T",K83, 1)</f>
        <v>1.1531909661354756</v>
      </c>
      <c r="L86" s="9"/>
      <c r="M86" s="9"/>
      <c r="P86" s="13">
        <f>[1]!HECALC(3, 0, "P", P82 * 10^5, "T",P83, 1)</f>
        <v>1.806207592993861</v>
      </c>
      <c r="T86" s="2"/>
    </row>
    <row r="87" spans="2:20" outlineLevel="1" x14ac:dyDescent="0.25">
      <c r="B87" s="8"/>
      <c r="C87" s="6" t="s">
        <v>11</v>
      </c>
      <c r="D87" s="13">
        <f>D67/1000/D86*3600</f>
        <v>64923.610667206536</v>
      </c>
      <c r="E87" s="13">
        <f>E67/1000/E86*3600</f>
        <v>74664.291902355733</v>
      </c>
      <c r="F87" s="13">
        <f>F67/1000/F86*3600</f>
        <v>71324.10970258688</v>
      </c>
      <c r="G87" s="4"/>
      <c r="I87" s="13">
        <f>I67/1000/I86*3600</f>
        <v>141819.32198954778</v>
      </c>
      <c r="K87" s="13">
        <f>K67/1000/K86*3600</f>
        <v>379492.43003066693</v>
      </c>
      <c r="L87" s="9"/>
      <c r="M87" s="9"/>
      <c r="P87" s="13">
        <f>P67/1000/P86*3600</f>
        <v>117195.84579847385</v>
      </c>
    </row>
    <row r="88" spans="2:20" x14ac:dyDescent="0.25">
      <c r="B88" s="8"/>
      <c r="C88" s="3"/>
      <c r="D88" s="3"/>
      <c r="E88" s="3"/>
      <c r="F88" s="3"/>
      <c r="G88" s="4"/>
      <c r="I88" s="3"/>
      <c r="K88" s="3"/>
      <c r="L88" s="9"/>
      <c r="M88" s="9"/>
      <c r="P88" s="3"/>
      <c r="T88" s="2"/>
    </row>
    <row r="89" spans="2:20" x14ac:dyDescent="0.25">
      <c r="B89" s="8"/>
      <c r="G89" s="4"/>
      <c r="L89" s="9"/>
      <c r="M89" s="9"/>
      <c r="T89" s="2"/>
    </row>
    <row r="90" spans="2:20" x14ac:dyDescent="0.25">
      <c r="B90" s="8"/>
      <c r="D90" s="1">
        <f>(1.2/0.026)^(1/5)</f>
        <v>2.1519965939276737</v>
      </c>
      <c r="G90" s="4"/>
      <c r="L90" s="9"/>
      <c r="M90" s="9"/>
      <c r="T90" s="2"/>
    </row>
    <row r="91" spans="2:20" x14ac:dyDescent="0.25">
      <c r="B91" s="8"/>
      <c r="D91" s="1">
        <v>1</v>
      </c>
      <c r="E91" s="1">
        <v>2</v>
      </c>
      <c r="F91" s="1">
        <v>3</v>
      </c>
      <c r="G91" s="1">
        <v>4</v>
      </c>
      <c r="H91" s="1">
        <v>5</v>
      </c>
      <c r="I91" s="1">
        <v>3</v>
      </c>
      <c r="K91" s="1">
        <v>3</v>
      </c>
      <c r="P91" s="1">
        <v>3</v>
      </c>
    </row>
    <row r="92" spans="2:20" x14ac:dyDescent="0.25">
      <c r="B92" s="8"/>
      <c r="D92" s="1">
        <v>1.2</v>
      </c>
      <c r="E92" s="1">
        <v>0.8</v>
      </c>
      <c r="F92" s="1">
        <v>1</v>
      </c>
      <c r="G92" s="4">
        <v>1</v>
      </c>
      <c r="H92" s="1">
        <v>1</v>
      </c>
      <c r="I92" s="1">
        <v>1</v>
      </c>
      <c r="K92" s="1">
        <v>1</v>
      </c>
      <c r="L92" s="9"/>
      <c r="M92" s="9"/>
      <c r="P92" s="1">
        <v>1</v>
      </c>
      <c r="T92" s="2"/>
    </row>
    <row r="93" spans="2:20" x14ac:dyDescent="0.25">
      <c r="B93" s="8"/>
      <c r="G93" s="4"/>
      <c r="L93" s="9"/>
      <c r="M93" s="9"/>
      <c r="T93" s="2"/>
    </row>
    <row r="94" spans="2:20" x14ac:dyDescent="0.25">
      <c r="B94" s="8"/>
      <c r="D94" s="1" t="s">
        <v>87</v>
      </c>
      <c r="E94" s="1" t="s">
        <v>36</v>
      </c>
      <c r="G94" s="4"/>
      <c r="L94" s="9"/>
      <c r="M94" s="9"/>
      <c r="T94" s="2"/>
    </row>
    <row r="95" spans="2:20" x14ac:dyDescent="0.25">
      <c r="B95" s="8"/>
      <c r="C95" s="1" t="s">
        <v>86</v>
      </c>
      <c r="D95" s="65">
        <f>D24+D42+D55+D68+D81</f>
        <v>29800.591110050173</v>
      </c>
      <c r="E95" s="1">
        <v>30</v>
      </c>
      <c r="F95" s="1">
        <f>(300-E95)/E95</f>
        <v>9</v>
      </c>
      <c r="L95" s="9"/>
      <c r="M95" s="9"/>
    </row>
    <row r="96" spans="2:20" x14ac:dyDescent="0.25">
      <c r="B96" s="8"/>
      <c r="D96" s="1">
        <f>D95/F96</f>
        <v>200.00396718154479</v>
      </c>
      <c r="E96" s="1">
        <v>2</v>
      </c>
      <c r="F96" s="1">
        <f>(300-E96)/E96</f>
        <v>149</v>
      </c>
      <c r="L96" s="9"/>
      <c r="M96" s="9"/>
      <c r="T96" s="2"/>
    </row>
    <row r="97" spans="2:20" x14ac:dyDescent="0.25">
      <c r="B97" s="8"/>
      <c r="L97" s="9"/>
      <c r="M97" s="9"/>
      <c r="T97" s="2"/>
    </row>
    <row r="98" spans="2:20" x14ac:dyDescent="0.25">
      <c r="B98" s="8"/>
      <c r="L98" s="9"/>
      <c r="M98" s="9"/>
      <c r="T98" s="2"/>
    </row>
    <row r="99" spans="2:20" x14ac:dyDescent="0.25">
      <c r="B99" s="8"/>
      <c r="D99" s="65">
        <f>(D85-D15)*D6/1000</f>
        <v>29800.591110050173</v>
      </c>
      <c r="L99" s="9"/>
      <c r="M99" s="9"/>
    </row>
    <row r="100" spans="2:20" x14ac:dyDescent="0.25">
      <c r="B100" s="8"/>
      <c r="L100" s="9"/>
      <c r="M100" s="9"/>
      <c r="T100" s="2"/>
    </row>
    <row r="101" spans="2:20" x14ac:dyDescent="0.25">
      <c r="L101" s="9"/>
      <c r="M101" s="9"/>
      <c r="T101" s="2"/>
    </row>
    <row r="102" spans="2:20" x14ac:dyDescent="0.25">
      <c r="L102" s="9"/>
      <c r="M102" s="9"/>
      <c r="T102" s="2"/>
    </row>
    <row r="103" spans="2:20" x14ac:dyDescent="0.25">
      <c r="L103" s="9"/>
      <c r="M103" s="9"/>
    </row>
    <row r="104" spans="2:20" x14ac:dyDescent="0.25">
      <c r="C104" s="1" t="s">
        <v>79</v>
      </c>
      <c r="D104" s="1">
        <v>4</v>
      </c>
      <c r="E104" s="1">
        <v>2</v>
      </c>
      <c r="L104" s="9"/>
      <c r="M104" s="9"/>
      <c r="T104" s="2"/>
    </row>
    <row r="105" spans="2:20" x14ac:dyDescent="0.25">
      <c r="C105" s="1" t="s">
        <v>83</v>
      </c>
      <c r="D105" s="1">
        <f>[1]!P_sat(10,D104)</f>
        <v>0.81619694276731214</v>
      </c>
      <c r="E105" s="1">
        <f>[1]!P_sat(10,E104)</f>
        <v>3.1292617716093249E-2</v>
      </c>
      <c r="L105" s="9"/>
      <c r="M105" s="9"/>
      <c r="T105" s="2"/>
    </row>
    <row r="106" spans="2:20" x14ac:dyDescent="0.25">
      <c r="C106" s="1" t="s">
        <v>88</v>
      </c>
      <c r="D106" s="1">
        <f>[1]!h_(10,D105,D104+0.0001)</f>
        <v>30.684806514233415</v>
      </c>
      <c r="E106" s="1">
        <f>[1]!h_(10,E105,E104+0.0001)</f>
        <v>25.04164111974147</v>
      </c>
      <c r="L106" s="9"/>
      <c r="M106" s="9"/>
      <c r="T106" s="2"/>
    </row>
    <row r="107" spans="2:20" x14ac:dyDescent="0.25">
      <c r="C107" s="1" t="s">
        <v>89</v>
      </c>
      <c r="D107" s="1">
        <f>[1]!h_(10,D105,D104-0.0001)</f>
        <v>8.898893470489039</v>
      </c>
      <c r="E107" s="1">
        <f>[1]!h_(10,E105,E104-0.0001)</f>
        <v>1.6417169648617356</v>
      </c>
      <c r="L107" s="9"/>
      <c r="M107" s="9"/>
    </row>
    <row r="108" spans="2:20" x14ac:dyDescent="0.25">
      <c r="C108" s="1" t="s">
        <v>91</v>
      </c>
      <c r="D108" s="1">
        <f>D106-D107</f>
        <v>21.785913043744376</v>
      </c>
      <c r="E108" s="1">
        <f>E106-E107</f>
        <v>23.399924154879734</v>
      </c>
      <c r="F108" s="1" t="s">
        <v>90</v>
      </c>
      <c r="L108" s="9"/>
      <c r="M108" s="9"/>
      <c r="T108" s="2"/>
    </row>
    <row r="109" spans="2:20" x14ac:dyDescent="0.25">
      <c r="E109" s="1">
        <v>3300</v>
      </c>
      <c r="F109" s="1" t="s">
        <v>92</v>
      </c>
      <c r="L109" s="9"/>
      <c r="M109" s="9"/>
      <c r="T109" s="2"/>
    </row>
    <row r="110" spans="2:20" x14ac:dyDescent="0.25">
      <c r="E110" s="1">
        <f>E109/E108</f>
        <v>141.02609812569969</v>
      </c>
      <c r="F110" s="1" t="s">
        <v>37</v>
      </c>
      <c r="L110" s="9"/>
      <c r="M110" s="9"/>
      <c r="T110" s="2"/>
    </row>
    <row r="111" spans="2:20" x14ac:dyDescent="0.25">
      <c r="L111" s="9"/>
      <c r="M111" s="9"/>
    </row>
    <row r="112" spans="2:20" x14ac:dyDescent="0.25">
      <c r="L112" s="9"/>
      <c r="M112" s="9"/>
      <c r="T112" s="2"/>
    </row>
    <row r="113" spans="3:20" x14ac:dyDescent="0.25">
      <c r="L113" s="9"/>
      <c r="M113" s="9"/>
      <c r="T113" s="2"/>
    </row>
    <row r="114" spans="3:20" x14ac:dyDescent="0.25">
      <c r="C114" s="1" t="s">
        <v>79</v>
      </c>
      <c r="D114" s="1">
        <v>3.6</v>
      </c>
      <c r="E114" s="1">
        <v>30</v>
      </c>
      <c r="L114" s="9"/>
      <c r="M114" s="9"/>
      <c r="T114" s="2"/>
    </row>
    <row r="115" spans="3:20" x14ac:dyDescent="0.25">
      <c r="C115" s="1" t="s">
        <v>83</v>
      </c>
      <c r="D115" s="1">
        <f>[1]!P_sat(10,2)</f>
        <v>3.1292617716093249E-2</v>
      </c>
      <c r="E115" s="1" t="s">
        <v>94</v>
      </c>
      <c r="L115" s="9"/>
      <c r="M115" s="9"/>
    </row>
    <row r="116" spans="3:20" x14ac:dyDescent="0.25">
      <c r="C116" s="1" t="s">
        <v>93</v>
      </c>
      <c r="D116" s="1">
        <f>[1]!h_(10,D115,D114+0.00001)</f>
        <v>33.775386346891999</v>
      </c>
      <c r="E116" s="1">
        <f>[1]!h_(10,E115,E114-0.00001)</f>
        <v>169.37531057545306</v>
      </c>
      <c r="F116" s="1">
        <f>E116-D116</f>
        <v>135.59992422856106</v>
      </c>
      <c r="G116" s="1" t="s">
        <v>90</v>
      </c>
      <c r="H116" s="1">
        <f>F116*161.12</f>
        <v>21847.85979170576</v>
      </c>
      <c r="I116" s="84">
        <v>0.7</v>
      </c>
      <c r="J116" s="1">
        <f>H116/I116</f>
        <v>31211.228273865374</v>
      </c>
      <c r="L116" s="9"/>
      <c r="M116" s="9"/>
      <c r="T116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K90"/>
  <sheetViews>
    <sheetView workbookViewId="0">
      <selection activeCell="D32" sqref="C32:D32"/>
    </sheetView>
  </sheetViews>
  <sheetFormatPr defaultRowHeight="15" x14ac:dyDescent="0.25"/>
  <cols>
    <col min="1" max="2" width="9.140625" style="1"/>
    <col min="3" max="3" width="14.85546875" style="1" customWidth="1"/>
    <col min="4" max="4" width="9.42578125" style="1" bestFit="1" customWidth="1"/>
    <col min="5" max="16384" width="9.140625" style="1"/>
  </cols>
  <sheetData>
    <row r="2" spans="2:11" x14ac:dyDescent="0.25">
      <c r="B2" s="4"/>
      <c r="C2" s="4"/>
      <c r="D2" s="4"/>
    </row>
    <row r="3" spans="2:11" x14ac:dyDescent="0.25">
      <c r="B3" s="8"/>
      <c r="C3" s="8"/>
      <c r="D3" s="8"/>
      <c r="H3" s="1">
        <v>38</v>
      </c>
      <c r="I3" s="1">
        <v>108</v>
      </c>
      <c r="J3" s="1">
        <v>277</v>
      </c>
      <c r="K3" s="1">
        <v>711</v>
      </c>
    </row>
    <row r="4" spans="2:11" x14ac:dyDescent="0.25">
      <c r="B4" s="8"/>
      <c r="C4" s="8"/>
      <c r="D4" s="8"/>
      <c r="H4" s="1">
        <v>112</v>
      </c>
      <c r="I4" s="1">
        <v>286</v>
      </c>
      <c r="J4" s="1">
        <v>733</v>
      </c>
      <c r="K4" s="1">
        <v>1300</v>
      </c>
    </row>
    <row r="5" spans="2:11" x14ac:dyDescent="0.25">
      <c r="B5" s="8"/>
      <c r="C5" s="8"/>
      <c r="D5" s="29" t="s">
        <v>13</v>
      </c>
      <c r="H5" s="1">
        <f>H4/H3</f>
        <v>2.9473684210526314</v>
      </c>
      <c r="I5" s="1">
        <f>I4/I3</f>
        <v>2.6481481481481484</v>
      </c>
      <c r="J5" s="1">
        <f>J4/J3</f>
        <v>2.6462093862815883</v>
      </c>
      <c r="K5" s="1">
        <f>K4/K3</f>
        <v>1.8284106891701828</v>
      </c>
    </row>
    <row r="6" spans="2:11" x14ac:dyDescent="0.25">
      <c r="B6" s="8"/>
      <c r="C6" s="5" t="s">
        <v>2</v>
      </c>
      <c r="D6" s="30">
        <v>215</v>
      </c>
      <c r="H6" s="1">
        <v>3.9780000000000002</v>
      </c>
      <c r="I6" s="1">
        <v>7.03</v>
      </c>
      <c r="J6" s="1">
        <v>11.84</v>
      </c>
      <c r="K6" s="1">
        <v>19.600000000000001</v>
      </c>
    </row>
    <row r="7" spans="2:11" x14ac:dyDescent="0.25">
      <c r="B7" s="8"/>
      <c r="C7" s="21" t="s">
        <v>0</v>
      </c>
      <c r="D7" s="31">
        <f>26/1000</f>
        <v>2.5999999999999999E-2</v>
      </c>
      <c r="H7" s="1">
        <v>7</v>
      </c>
      <c r="I7" s="1">
        <v>11.81</v>
      </c>
      <c r="J7" s="1">
        <v>19.57</v>
      </c>
      <c r="K7" s="1">
        <v>27.03</v>
      </c>
    </row>
    <row r="8" spans="2:11" x14ac:dyDescent="0.25">
      <c r="B8" s="8"/>
      <c r="C8" s="22" t="s">
        <v>1</v>
      </c>
      <c r="D8" s="32">
        <v>3.5</v>
      </c>
      <c r="H8" s="1">
        <v>120</v>
      </c>
    </row>
    <row r="9" spans="2:11" x14ac:dyDescent="0.25">
      <c r="B9" s="8"/>
      <c r="C9" s="22" t="s">
        <v>7</v>
      </c>
      <c r="D9" s="15">
        <f>[2]!HECALC(8, 0, "P", D7 * 10^5, "T",D8, 1)</f>
        <v>16050.697529741326</v>
      </c>
    </row>
    <row r="10" spans="2:11" x14ac:dyDescent="0.25">
      <c r="B10" s="8"/>
      <c r="C10" s="22" t="s">
        <v>8</v>
      </c>
      <c r="D10" s="15">
        <f>[2]!HECALC(9, 0, "P", D7 * 10^5, "T",D8, 1)</f>
        <v>33281.75916677506</v>
      </c>
    </row>
    <row r="11" spans="2:11" x14ac:dyDescent="0.25">
      <c r="B11" s="8"/>
      <c r="C11" s="23" t="s">
        <v>9</v>
      </c>
      <c r="D11" s="17">
        <f>[2]!HECALC(3, 0, "P", D7 * 10^5, "T",D8, 1)</f>
        <v>0.36112170986659059</v>
      </c>
    </row>
    <row r="12" spans="2:11" x14ac:dyDescent="0.25">
      <c r="B12" s="8"/>
      <c r="C12" s="22" t="s">
        <v>11</v>
      </c>
      <c r="D12" s="17">
        <f>D6/D11*3.6</f>
        <v>2143.3217080356076</v>
      </c>
    </row>
    <row r="13" spans="2:11" x14ac:dyDescent="0.25">
      <c r="B13" s="8"/>
      <c r="C13" s="22" t="s">
        <v>10</v>
      </c>
      <c r="D13" s="17">
        <f>D6*D8^0.5/D7</f>
        <v>15470.314195315334</v>
      </c>
    </row>
    <row r="14" spans="2:11" x14ac:dyDescent="0.25">
      <c r="B14" s="8"/>
      <c r="C14" s="24" t="s">
        <v>12</v>
      </c>
      <c r="D14" s="18">
        <v>2.5</v>
      </c>
    </row>
    <row r="15" spans="2:11" x14ac:dyDescent="0.25">
      <c r="B15" s="8"/>
      <c r="C15" s="25" t="s">
        <v>4</v>
      </c>
      <c r="D15" s="19">
        <v>0.7</v>
      </c>
    </row>
    <row r="16" spans="2:11" x14ac:dyDescent="0.25">
      <c r="B16" s="8"/>
      <c r="C16" s="6" t="s">
        <v>6</v>
      </c>
      <c r="D16" s="12">
        <f>[2]!HECALC(9, 0, "P",D20* 10^5, "S",D9, 1)</f>
        <v>41248.078229913837</v>
      </c>
    </row>
    <row r="17" spans="2:4" x14ac:dyDescent="0.25">
      <c r="B17" s="8"/>
      <c r="C17" s="6" t="s">
        <v>5</v>
      </c>
      <c r="D17" s="12">
        <f>D16-D10</f>
        <v>7966.319063138777</v>
      </c>
    </row>
    <row r="18" spans="2:4" x14ac:dyDescent="0.25">
      <c r="B18" s="8"/>
      <c r="C18" s="6" t="s">
        <v>73</v>
      </c>
      <c r="D18" s="12">
        <f>D17/D15</f>
        <v>11380.455804483969</v>
      </c>
    </row>
    <row r="19" spans="2:4" x14ac:dyDescent="0.25">
      <c r="B19" s="8"/>
      <c r="C19" s="45" t="s">
        <v>42</v>
      </c>
      <c r="D19" s="46">
        <f>D17/D15/1000*$D$6</f>
        <v>2446.7979979640531</v>
      </c>
    </row>
    <row r="20" spans="2:4" x14ac:dyDescent="0.25">
      <c r="B20" s="8"/>
      <c r="C20" s="21" t="s">
        <v>0</v>
      </c>
      <c r="D20" s="20">
        <f>D14*D7</f>
        <v>6.5000000000000002E-2</v>
      </c>
    </row>
    <row r="21" spans="2:4" x14ac:dyDescent="0.25">
      <c r="B21" s="8"/>
      <c r="C21" s="22" t="s">
        <v>1</v>
      </c>
      <c r="D21" s="15">
        <f>[2]!HECALC(2, 0, "P",D20 * 10^5, "H",D23, 1)</f>
        <v>5.7013589954124821</v>
      </c>
    </row>
    <row r="22" spans="2:4" x14ac:dyDescent="0.25">
      <c r="B22" s="8"/>
      <c r="C22" s="22" t="s">
        <v>7</v>
      </c>
      <c r="D22" s="15">
        <f>[2]!HECALC(8, 0, "P",D20 * 10^5, "T",D21, 1)</f>
        <v>16686.56065410018</v>
      </c>
    </row>
    <row r="23" spans="2:4" x14ac:dyDescent="0.25">
      <c r="B23" s="8"/>
      <c r="C23" s="22" t="s">
        <v>8</v>
      </c>
      <c r="D23" s="16">
        <f>D18+D10</f>
        <v>44662.214971259033</v>
      </c>
    </row>
    <row r="24" spans="2:4" x14ac:dyDescent="0.25">
      <c r="B24" s="8"/>
      <c r="C24" s="23" t="s">
        <v>9</v>
      </c>
      <c r="D24" s="17">
        <f>[2]!HECALC(3, 0, "P", D20 * 10^5, "T",D21, 1)</f>
        <v>0.55310750213941695</v>
      </c>
    </row>
    <row r="25" spans="2:4" x14ac:dyDescent="0.25">
      <c r="B25" s="8"/>
      <c r="C25" s="22" t="s">
        <v>11</v>
      </c>
      <c r="D25" s="17">
        <f>D6/D24*3.6</f>
        <v>1399.3663022218502</v>
      </c>
    </row>
    <row r="26" spans="2:4" x14ac:dyDescent="0.25">
      <c r="B26" s="8"/>
      <c r="C26" s="22" t="s">
        <v>10</v>
      </c>
      <c r="D26" s="17">
        <f>$D$6*D21^0.5/D20</f>
        <v>7897.9484949636571</v>
      </c>
    </row>
    <row r="27" spans="2:4" x14ac:dyDescent="0.25">
      <c r="B27" s="8"/>
      <c r="C27" s="24" t="s">
        <v>12</v>
      </c>
      <c r="D27" s="18">
        <v>2.2999999999999998</v>
      </c>
    </row>
    <row r="28" spans="2:4" x14ac:dyDescent="0.25">
      <c r="B28" s="8"/>
      <c r="C28" s="25" t="s">
        <v>4</v>
      </c>
      <c r="D28" s="19">
        <v>0.68</v>
      </c>
    </row>
    <row r="29" spans="2:4" x14ac:dyDescent="0.25">
      <c r="B29" s="8"/>
      <c r="C29" s="6" t="s">
        <v>6</v>
      </c>
      <c r="D29" s="12">
        <f>[2]!HECALC(9, 0, "P",D33* 10^5, "S",D22, 1)</f>
        <v>56281.898610704171</v>
      </c>
    </row>
    <row r="30" spans="2:4" x14ac:dyDescent="0.25">
      <c r="B30" s="8"/>
      <c r="C30" s="6" t="s">
        <v>5</v>
      </c>
      <c r="D30" s="12">
        <f>D29-D23</f>
        <v>11619.683639445138</v>
      </c>
    </row>
    <row r="31" spans="2:4" x14ac:dyDescent="0.25">
      <c r="B31" s="8"/>
      <c r="C31" s="6" t="s">
        <v>3</v>
      </c>
      <c r="D31" s="12">
        <f>D30/D28</f>
        <v>17087.770058007554</v>
      </c>
    </row>
    <row r="32" spans="2:4" x14ac:dyDescent="0.25">
      <c r="B32" s="8"/>
      <c r="C32" s="45" t="s">
        <v>42</v>
      </c>
      <c r="D32" s="46">
        <f>D30/D28/1000*$D$6</f>
        <v>3673.870562471624</v>
      </c>
    </row>
    <row r="33" spans="2:4" x14ac:dyDescent="0.25">
      <c r="B33" s="8"/>
      <c r="C33" s="21" t="s">
        <v>0</v>
      </c>
      <c r="D33" s="20">
        <f>D27*D20</f>
        <v>0.14949999999999999</v>
      </c>
    </row>
    <row r="34" spans="2:4" x14ac:dyDescent="0.25">
      <c r="B34" s="8"/>
      <c r="C34" s="22" t="s">
        <v>1</v>
      </c>
      <c r="D34" s="15">
        <f>[2]!HECALC(2, 0, "P",D33 * 10^5, "H",D36, 1)</f>
        <v>9.0050684152685463</v>
      </c>
    </row>
    <row r="35" spans="2:4" x14ac:dyDescent="0.25">
      <c r="B35" s="8"/>
      <c r="C35" s="22" t="s">
        <v>7</v>
      </c>
      <c r="D35" s="15">
        <f>[2]!HECALC(8, 0, "P",D33 * 10^5, "T",D34, 1)</f>
        <v>17331.96515231071</v>
      </c>
    </row>
    <row r="36" spans="2:4" x14ac:dyDescent="0.25">
      <c r="B36" s="8"/>
      <c r="C36" s="22" t="s">
        <v>8</v>
      </c>
      <c r="D36" s="16">
        <f>D31+D23</f>
        <v>61749.985029266587</v>
      </c>
    </row>
    <row r="37" spans="2:4" x14ac:dyDescent="0.25">
      <c r="B37" s="8"/>
      <c r="C37" s="23" t="s">
        <v>9</v>
      </c>
      <c r="D37" s="17">
        <f>[2]!HECALC(3, 0, "P", D33 * 10^5, "T",D34, 1)</f>
        <v>0.8036498757786682</v>
      </c>
    </row>
    <row r="38" spans="2:4" x14ac:dyDescent="0.25">
      <c r="B38" s="8"/>
      <c r="C38" s="22" t="s">
        <v>11</v>
      </c>
      <c r="D38" s="17">
        <f>D6/D37*3.6</f>
        <v>963.10597852088256</v>
      </c>
    </row>
    <row r="39" spans="2:4" x14ac:dyDescent="0.25">
      <c r="B39" s="8"/>
      <c r="C39" s="22" t="s">
        <v>10</v>
      </c>
      <c r="D39" s="17">
        <f>$D$6*D34^0.5/D33</f>
        <v>4315.5959374654412</v>
      </c>
    </row>
    <row r="40" spans="2:4" x14ac:dyDescent="0.25">
      <c r="B40" s="8"/>
      <c r="C40" s="24" t="s">
        <v>12</v>
      </c>
      <c r="D40" s="18">
        <v>2.1</v>
      </c>
    </row>
    <row r="41" spans="2:4" x14ac:dyDescent="0.25">
      <c r="B41" s="8"/>
      <c r="C41" s="25" t="s">
        <v>4</v>
      </c>
      <c r="D41" s="19">
        <v>0.65</v>
      </c>
    </row>
    <row r="42" spans="2:4" x14ac:dyDescent="0.25">
      <c r="B42" s="8"/>
      <c r="C42" s="6" t="s">
        <v>6</v>
      </c>
      <c r="D42" s="12">
        <f>[2]!HECALC(9, 0, "P",D46* 10^5, "S",D35, 1)</f>
        <v>77829.897621879907</v>
      </c>
    </row>
    <row r="43" spans="2:4" x14ac:dyDescent="0.25">
      <c r="B43" s="8"/>
      <c r="C43" s="6" t="s">
        <v>5</v>
      </c>
      <c r="D43" s="12">
        <f>D42-D36</f>
        <v>16079.91259261332</v>
      </c>
    </row>
    <row r="44" spans="2:4" x14ac:dyDescent="0.25">
      <c r="B44" s="8"/>
      <c r="C44" s="6" t="s">
        <v>3</v>
      </c>
      <c r="D44" s="12">
        <f>D43/D41</f>
        <v>24738.327065558955</v>
      </c>
    </row>
    <row r="45" spans="2:4" x14ac:dyDescent="0.25">
      <c r="B45" s="8"/>
      <c r="C45" s="45" t="s">
        <v>42</v>
      </c>
      <c r="D45" s="46">
        <f>D43/D41/1000*$D$6</f>
        <v>5318.7403190951754</v>
      </c>
    </row>
    <row r="46" spans="2:4" x14ac:dyDescent="0.25">
      <c r="B46" s="8"/>
      <c r="C46" s="21" t="s">
        <v>0</v>
      </c>
      <c r="D46" s="20">
        <f>D40*D33</f>
        <v>0.31395000000000001</v>
      </c>
    </row>
    <row r="47" spans="2:4" x14ac:dyDescent="0.25">
      <c r="B47" s="8"/>
      <c r="C47" s="22" t="s">
        <v>1</v>
      </c>
      <c r="D47" s="15">
        <f>[2]!HECALC(2, 0, "P",D46 * 10^5, "H",D49, 1)</f>
        <v>13.77743817091668</v>
      </c>
    </row>
    <row r="48" spans="2:4" x14ac:dyDescent="0.25">
      <c r="B48" s="8"/>
      <c r="C48" s="22" t="s">
        <v>7</v>
      </c>
      <c r="D48" s="15">
        <f>[2]!HECALC(8, 0, "P",D46 * 10^5, "T",D47, 1)</f>
        <v>18001.46445346803</v>
      </c>
    </row>
    <row r="49" spans="2:4" x14ac:dyDescent="0.25">
      <c r="B49" s="8"/>
      <c r="C49" s="22" t="s">
        <v>8</v>
      </c>
      <c r="D49" s="16">
        <f>D44+D36</f>
        <v>86488.312094825538</v>
      </c>
    </row>
    <row r="50" spans="2:4" x14ac:dyDescent="0.25">
      <c r="B50" s="8"/>
      <c r="C50" s="23" t="s">
        <v>9</v>
      </c>
      <c r="D50" s="17">
        <f>[2]!HECALC(3, 0, "P", D46 * 10^5, "T",D47, 1)</f>
        <v>1.1001727932098331</v>
      </c>
    </row>
    <row r="51" spans="2:4" x14ac:dyDescent="0.25">
      <c r="B51" s="8"/>
      <c r="C51" s="22" t="s">
        <v>11</v>
      </c>
      <c r="D51" s="17">
        <f>D6/D50*3.6</f>
        <v>703.52585046372531</v>
      </c>
    </row>
    <row r="52" spans="2:4" x14ac:dyDescent="0.25">
      <c r="B52" s="8"/>
      <c r="C52" s="22" t="s">
        <v>10</v>
      </c>
      <c r="D52" s="17">
        <f>$D$6*D47^0.5/D46</f>
        <v>2541.9219296178126</v>
      </c>
    </row>
    <row r="53" spans="2:4" x14ac:dyDescent="0.25">
      <c r="B53" s="8"/>
      <c r="C53" s="24" t="s">
        <v>12</v>
      </c>
      <c r="D53" s="18">
        <v>2</v>
      </c>
    </row>
    <row r="54" spans="2:4" x14ac:dyDescent="0.25">
      <c r="B54" s="8"/>
      <c r="C54" s="25" t="s">
        <v>4</v>
      </c>
      <c r="D54" s="19">
        <v>0.65</v>
      </c>
    </row>
    <row r="55" spans="2:4" x14ac:dyDescent="0.25">
      <c r="B55" s="8"/>
      <c r="C55" s="6" t="s">
        <v>6</v>
      </c>
      <c r="D55" s="12">
        <f>[2]!HECALC(9, 0, "P",D59* 10^5, "S",D48, 1)</f>
        <v>109305.27425889275</v>
      </c>
    </row>
    <row r="56" spans="2:4" x14ac:dyDescent="0.25">
      <c r="B56" s="8"/>
      <c r="C56" s="6" t="s">
        <v>5</v>
      </c>
      <c r="D56" s="12">
        <f>D55-D49</f>
        <v>22816.962164067212</v>
      </c>
    </row>
    <row r="57" spans="2:4" x14ac:dyDescent="0.25">
      <c r="B57" s="8"/>
      <c r="C57" s="6" t="s">
        <v>3</v>
      </c>
      <c r="D57" s="12">
        <f>D56/D54</f>
        <v>35103.018713949554</v>
      </c>
    </row>
    <row r="58" spans="2:4" x14ac:dyDescent="0.25">
      <c r="B58" s="8"/>
      <c r="C58" s="45" t="s">
        <v>42</v>
      </c>
      <c r="D58" s="46">
        <f>D56/D54/1000*$D$6</f>
        <v>7547.1490234991534</v>
      </c>
    </row>
    <row r="59" spans="2:4" x14ac:dyDescent="0.25">
      <c r="B59" s="8"/>
      <c r="C59" s="21" t="s">
        <v>0</v>
      </c>
      <c r="D59" s="20">
        <f>D53*D46</f>
        <v>0.62790000000000001</v>
      </c>
    </row>
    <row r="60" spans="2:4" x14ac:dyDescent="0.25">
      <c r="B60" s="8"/>
      <c r="C60" s="22" t="s">
        <v>1</v>
      </c>
      <c r="D60" s="15">
        <f>[2]!HECALC(2, 0, "P",D59 * 10^5, "H",D62, 1)</f>
        <v>20.534847071711027</v>
      </c>
    </row>
    <row r="61" spans="2:4" x14ac:dyDescent="0.25">
      <c r="B61" s="8"/>
      <c r="C61" s="22" t="s">
        <v>7</v>
      </c>
      <c r="D61" s="15">
        <f>[2]!HECALC(8, 0, "P",D59 * 10^5, "T",D60, 1)</f>
        <v>18636.846738625089</v>
      </c>
    </row>
    <row r="62" spans="2:4" x14ac:dyDescent="0.25">
      <c r="B62" s="8"/>
      <c r="C62" s="22" t="s">
        <v>8</v>
      </c>
      <c r="D62" s="16">
        <f>D57+D49</f>
        <v>121591.33080877509</v>
      </c>
    </row>
    <row r="63" spans="2:4" x14ac:dyDescent="0.25">
      <c r="B63" s="8"/>
      <c r="C63" s="23" t="s">
        <v>9</v>
      </c>
      <c r="D63" s="17">
        <f>[2]!HECALC(3, 0, "P", D59 * 10^5, "T",D60, 1)</f>
        <v>1.4721655870686723</v>
      </c>
    </row>
    <row r="64" spans="2:4" x14ac:dyDescent="0.25">
      <c r="B64" s="8"/>
      <c r="C64" s="22" t="s">
        <v>11</v>
      </c>
      <c r="D64" s="17">
        <f>D6/D63*3.6</f>
        <v>525.756074451627</v>
      </c>
    </row>
    <row r="65" spans="2:4" x14ac:dyDescent="0.25">
      <c r="B65" s="8"/>
      <c r="C65" s="22" t="s">
        <v>10</v>
      </c>
      <c r="D65" s="17">
        <f>$D$6*D60^0.5/D59</f>
        <v>1551.6498126109971</v>
      </c>
    </row>
    <row r="66" spans="2:4" x14ac:dyDescent="0.25">
      <c r="B66" s="8"/>
      <c r="C66" s="24" t="s">
        <v>12</v>
      </c>
      <c r="D66" s="18">
        <v>1.95</v>
      </c>
    </row>
    <row r="67" spans="2:4" x14ac:dyDescent="0.25">
      <c r="B67" s="8"/>
      <c r="C67" s="25" t="s">
        <v>4</v>
      </c>
      <c r="D67" s="19">
        <v>0.65</v>
      </c>
    </row>
    <row r="68" spans="2:4" x14ac:dyDescent="0.25">
      <c r="B68" s="8"/>
      <c r="C68" s="6" t="s">
        <v>6</v>
      </c>
      <c r="D68" s="12">
        <f>[2]!HECALC(9, 0, "P",D72* 10^5, "S",D61, 1)</f>
        <v>154284.9195741849</v>
      </c>
    </row>
    <row r="69" spans="2:4" x14ac:dyDescent="0.25">
      <c r="B69" s="8"/>
      <c r="C69" s="6" t="s">
        <v>5</v>
      </c>
      <c r="D69" s="12">
        <f>D68-D62</f>
        <v>32693.588765409804</v>
      </c>
    </row>
    <row r="70" spans="2:4" x14ac:dyDescent="0.25">
      <c r="B70" s="8"/>
      <c r="C70" s="6" t="s">
        <v>3</v>
      </c>
      <c r="D70" s="12">
        <f>D69/D67</f>
        <v>50297.828869861238</v>
      </c>
    </row>
    <row r="71" spans="2:4" x14ac:dyDescent="0.25">
      <c r="B71" s="8"/>
      <c r="C71" s="45" t="s">
        <v>42</v>
      </c>
      <c r="D71" s="46">
        <f>D69/D67/1000*$D$6</f>
        <v>10814.033207020166</v>
      </c>
    </row>
    <row r="72" spans="2:4" x14ac:dyDescent="0.25">
      <c r="B72" s="8"/>
      <c r="C72" s="26" t="s">
        <v>0</v>
      </c>
      <c r="D72" s="27">
        <f>D66*D59</f>
        <v>1.224405</v>
      </c>
    </row>
    <row r="73" spans="2:4" x14ac:dyDescent="0.25">
      <c r="B73" s="8"/>
      <c r="C73" s="26" t="s">
        <v>1</v>
      </c>
      <c r="D73" s="28">
        <f>[2]!HECALC(2, 0, "P",D72 * 10^5, "H",D75, 1)</f>
        <v>30.196082241216072</v>
      </c>
    </row>
    <row r="74" spans="2:4" x14ac:dyDescent="0.25">
      <c r="B74" s="8"/>
      <c r="C74" s="6" t="s">
        <v>7</v>
      </c>
      <c r="D74" s="12">
        <f>[2]!HECALC(8, 0, "P",D72 * 10^5, "T",D73, 1)</f>
        <v>19255.009930870699</v>
      </c>
    </row>
    <row r="75" spans="2:4" x14ac:dyDescent="0.25">
      <c r="B75" s="8"/>
      <c r="C75" s="6" t="s">
        <v>8</v>
      </c>
      <c r="D75" s="14">
        <f>D70+D62</f>
        <v>171889.15967863632</v>
      </c>
    </row>
    <row r="76" spans="2:4" x14ac:dyDescent="0.25">
      <c r="B76" s="8"/>
      <c r="C76" s="11" t="s">
        <v>9</v>
      </c>
      <c r="D76" s="13">
        <f>[2]!HECALC(3, 0, "P", D72 * 10^5, "T",D73, 1)</f>
        <v>1.9464547037900555</v>
      </c>
    </row>
    <row r="77" spans="2:4" x14ac:dyDescent="0.25">
      <c r="B77" s="8"/>
      <c r="C77" s="6" t="s">
        <v>11</v>
      </c>
      <c r="D77" s="13">
        <f>D57/1000/D76*3600</f>
        <v>64923.610667206536</v>
      </c>
    </row>
    <row r="78" spans="2:4" x14ac:dyDescent="0.25">
      <c r="B78" s="8"/>
      <c r="C78" s="3"/>
      <c r="D78" s="3"/>
    </row>
    <row r="79" spans="2:4" x14ac:dyDescent="0.25">
      <c r="B79" s="8"/>
    </row>
    <row r="80" spans="2:4" x14ac:dyDescent="0.25">
      <c r="B80" s="8"/>
      <c r="D80" s="1">
        <f>(1.2/0.026)^(1/5)</f>
        <v>2.1519965939276737</v>
      </c>
    </row>
    <row r="81" spans="2:4" x14ac:dyDescent="0.25">
      <c r="B81" s="8"/>
      <c r="D81" s="1">
        <v>1</v>
      </c>
    </row>
    <row r="82" spans="2:4" x14ac:dyDescent="0.25">
      <c r="B82" s="8"/>
      <c r="D82" s="1">
        <v>1.2</v>
      </c>
    </row>
    <row r="83" spans="2:4" x14ac:dyDescent="0.25">
      <c r="B83" s="8"/>
    </row>
    <row r="84" spans="2:4" x14ac:dyDescent="0.25">
      <c r="B84" s="8"/>
    </row>
    <row r="85" spans="2:4" x14ac:dyDescent="0.25">
      <c r="B85" s="8"/>
    </row>
    <row r="86" spans="2:4" x14ac:dyDescent="0.25">
      <c r="B86" s="8"/>
    </row>
    <row r="87" spans="2:4" x14ac:dyDescent="0.25">
      <c r="B87" s="8"/>
    </row>
    <row r="88" spans="2:4" x14ac:dyDescent="0.25">
      <c r="B88" s="8"/>
    </row>
    <row r="89" spans="2:4" x14ac:dyDescent="0.25">
      <c r="B89" s="8"/>
    </row>
    <row r="90" spans="2:4" x14ac:dyDescent="0.25">
      <c r="B9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L4:AC43"/>
  <sheetViews>
    <sheetView topLeftCell="A31" zoomScale="115" zoomScaleNormal="115" workbookViewId="0">
      <selection activeCell="K41" sqref="K41"/>
    </sheetView>
  </sheetViews>
  <sheetFormatPr defaultRowHeight="15" x14ac:dyDescent="0.25"/>
  <cols>
    <col min="1" max="12" width="9.140625" style="1"/>
    <col min="13" max="13" width="9.5703125" style="1" bestFit="1" customWidth="1"/>
    <col min="14" max="14" width="11.7109375" style="1" customWidth="1"/>
    <col min="15" max="16" width="12" style="1" bestFit="1" customWidth="1"/>
    <col min="17" max="16384" width="9.140625" style="1"/>
  </cols>
  <sheetData>
    <row r="4" spans="12:20" x14ac:dyDescent="0.25">
      <c r="L4" s="39" t="s">
        <v>30</v>
      </c>
      <c r="M4" s="39" t="s">
        <v>37</v>
      </c>
      <c r="N4" s="39">
        <v>125.7</v>
      </c>
      <c r="O4" s="1">
        <f>O10*$N$4*N6^ 0.5/$N$5*$O$5/O6^0.5</f>
        <v>100.56</v>
      </c>
      <c r="P4" s="1">
        <f>P10*$N$4*O6^ 0.5/$N$5*$O$5/P6^0.5</f>
        <v>87.99</v>
      </c>
    </row>
    <row r="5" spans="12:20" x14ac:dyDescent="0.25">
      <c r="L5" s="39" t="s">
        <v>31</v>
      </c>
      <c r="M5" s="39" t="s">
        <v>16</v>
      </c>
      <c r="N5" s="50">
        <v>14</v>
      </c>
      <c r="O5" s="50">
        <v>14</v>
      </c>
      <c r="P5" s="50">
        <v>14</v>
      </c>
    </row>
    <row r="6" spans="12:20" x14ac:dyDescent="0.25">
      <c r="L6" s="39" t="s">
        <v>32</v>
      </c>
      <c r="M6" s="39" t="s">
        <v>36</v>
      </c>
      <c r="N6" s="50">
        <v>3.98</v>
      </c>
      <c r="O6" s="50">
        <v>3.98</v>
      </c>
      <c r="P6" s="50">
        <v>3.98</v>
      </c>
    </row>
    <row r="7" spans="12:20" x14ac:dyDescent="0.25">
      <c r="L7" s="39" t="s">
        <v>12</v>
      </c>
      <c r="M7" s="39"/>
      <c r="N7" s="50">
        <v>3.15</v>
      </c>
      <c r="O7" s="50">
        <v>2.25</v>
      </c>
      <c r="P7" s="50">
        <v>1.9</v>
      </c>
    </row>
    <row r="8" spans="12:20" x14ac:dyDescent="0.25">
      <c r="L8" s="39" t="s">
        <v>33</v>
      </c>
      <c r="M8" s="39" t="s">
        <v>16</v>
      </c>
      <c r="N8" s="39">
        <f>N7*N5</f>
        <v>44.1</v>
      </c>
      <c r="O8" s="39">
        <f t="shared" ref="O8:P8" si="0">O7*O5</f>
        <v>31.5</v>
      </c>
      <c r="P8" s="39">
        <f t="shared" si="0"/>
        <v>26.599999999999998</v>
      </c>
    </row>
    <row r="9" spans="12:20" x14ac:dyDescent="0.25">
      <c r="L9" s="39" t="s">
        <v>34</v>
      </c>
      <c r="M9" s="39" t="s">
        <v>35</v>
      </c>
      <c r="N9" s="39">
        <v>182</v>
      </c>
      <c r="O9" s="1">
        <f>N9*O11</f>
        <v>123.76</v>
      </c>
      <c r="P9" s="1">
        <f>O9*P11</f>
        <v>71.780799999999999</v>
      </c>
    </row>
    <row r="10" spans="12:20" x14ac:dyDescent="0.25">
      <c r="L10" s="39" t="s">
        <v>39</v>
      </c>
      <c r="O10" s="1">
        <v>0.8</v>
      </c>
      <c r="P10" s="1">
        <v>0.7</v>
      </c>
    </row>
    <row r="11" spans="12:20" ht="15.75" thickBot="1" x14ac:dyDescent="0.3">
      <c r="L11" s="39" t="s">
        <v>38</v>
      </c>
      <c r="O11" s="40">
        <v>0.68</v>
      </c>
      <c r="P11" s="40">
        <v>0.57999999999999996</v>
      </c>
    </row>
    <row r="12" spans="12:20" ht="15.75" thickBot="1" x14ac:dyDescent="0.3">
      <c r="L12" s="6" t="s">
        <v>7</v>
      </c>
      <c r="M12" s="3"/>
      <c r="N12" s="48">
        <f>[3]!HECALC(8, 0, "P", N5/ 1000*10^5, "T",N6, 1)</f>
        <v>18020.925566544116</v>
      </c>
      <c r="O12" s="48">
        <f>[3]!HECALC(8, 0, "P", O5/ 1000*10^5, "T",O6, 1)</f>
        <v>18020.925566544116</v>
      </c>
      <c r="P12" s="48">
        <f>[3]!HECALC(8, 0, "P", P5/ 1000*10^5, "T",P6, 1)</f>
        <v>18020.925566544116</v>
      </c>
      <c r="S12" s="41" t="s">
        <v>40</v>
      </c>
      <c r="T12" s="42"/>
    </row>
    <row r="13" spans="12:20" x14ac:dyDescent="0.25">
      <c r="L13" s="6" t="s">
        <v>8</v>
      </c>
      <c r="M13" s="3"/>
      <c r="N13" s="48">
        <f>[3]!HECALC(9, 0, "P", N5 / 1000*10^5, "T",N6, 1)</f>
        <v>35867.10846448574</v>
      </c>
      <c r="O13" s="48">
        <f>[3]!HECALC(9, 0, "P", O5 / 1000*10^5, "T",O6, 1)</f>
        <v>35867.10846448574</v>
      </c>
      <c r="P13" s="48">
        <f>[3]!HECALC(9, 0, "P", P5 / 1000*10^5, "T",P6, 1)</f>
        <v>35867.10846448574</v>
      </c>
      <c r="S13" s="44" t="s">
        <v>41</v>
      </c>
      <c r="T13" s="42"/>
    </row>
    <row r="14" spans="12:20" x14ac:dyDescent="0.25">
      <c r="L14" s="11" t="s">
        <v>9</v>
      </c>
      <c r="M14" s="3"/>
      <c r="N14" s="51">
        <f>[3]!HECALC(3, 0, "P", N5/1000 * 10^5, "T",N6, 1)</f>
        <v>0.16999474883792803</v>
      </c>
      <c r="O14" s="51">
        <f>[3]!HECALC(3, 0, "P", O5/1000 * 10^5, "T",O6, 1)</f>
        <v>0.16999474883792803</v>
      </c>
      <c r="P14" s="51">
        <f>[3]!HECALC(3, 0, "P", P5/1000 * 10^5, "T",P6, 1)</f>
        <v>0.16999474883792803</v>
      </c>
    </row>
    <row r="15" spans="12:20" x14ac:dyDescent="0.25">
      <c r="L15" s="6" t="s">
        <v>43</v>
      </c>
      <c r="M15" s="3"/>
      <c r="N15" s="51">
        <f>N4/N14*3.6</f>
        <v>2661.964578867256</v>
      </c>
      <c r="O15" s="51">
        <f>O4/O14*3.6</f>
        <v>2129.5716630938045</v>
      </c>
      <c r="P15" s="51">
        <f>P4/P14*3.6</f>
        <v>1863.375205207079</v>
      </c>
    </row>
    <row r="16" spans="12:20" x14ac:dyDescent="0.25">
      <c r="L16" s="6" t="s">
        <v>4</v>
      </c>
      <c r="M16" s="3"/>
      <c r="N16" s="52">
        <v>0.7</v>
      </c>
      <c r="O16" s="52">
        <v>0.7</v>
      </c>
      <c r="P16" s="52">
        <v>0.7</v>
      </c>
    </row>
    <row r="17" spans="12:29" x14ac:dyDescent="0.25">
      <c r="L17" s="6" t="s">
        <v>6</v>
      </c>
      <c r="M17" s="3"/>
      <c r="N17" s="49">
        <f>[3]!HECALC(9, 0, "P",N8/1000* 10^5, "S",N12, 1)</f>
        <v>47858.424668547043</v>
      </c>
      <c r="O17" s="49">
        <f>[3]!HECALC(9, 0, "P",O8/1000* 10^5, "S",O12, 1)</f>
        <v>43755.680502646603</v>
      </c>
      <c r="P17" s="49">
        <f>[3]!HECALC(9, 0, "P",P8/1000* 10^5, "S",P12, 1)</f>
        <v>41893.465472604155</v>
      </c>
      <c r="X17" s="56" t="s">
        <v>55</v>
      </c>
      <c r="Y17" s="57">
        <v>10.3</v>
      </c>
      <c r="Z17" s="57">
        <v>1.65</v>
      </c>
      <c r="AA17" s="57">
        <f>+Y17-2*Z17</f>
        <v>7.0000000000000009</v>
      </c>
      <c r="AB17" s="58" t="str">
        <f>CONCATENATE(Y17,"x",Z17)</f>
        <v>10.3x1.65</v>
      </c>
      <c r="AC17" s="59">
        <v>10</v>
      </c>
    </row>
    <row r="18" spans="12:29" x14ac:dyDescent="0.25">
      <c r="L18" s="6" t="s">
        <v>5</v>
      </c>
      <c r="M18" s="3"/>
      <c r="N18" s="49">
        <f>N17-N13</f>
        <v>11991.316204061302</v>
      </c>
      <c r="O18" s="49">
        <f t="shared" ref="O18:P18" si="1">O17-O13</f>
        <v>7888.5720381608626</v>
      </c>
      <c r="P18" s="49">
        <f t="shared" si="1"/>
        <v>6026.3570081184153</v>
      </c>
      <c r="X18" s="60" t="s">
        <v>56</v>
      </c>
      <c r="Y18" s="61">
        <v>13.7</v>
      </c>
      <c r="Z18" s="61">
        <v>1.65</v>
      </c>
      <c r="AA18" s="61">
        <f t="shared" ref="AA18:AA34" si="2">+Y18-2*Z18</f>
        <v>10.399999999999999</v>
      </c>
      <c r="AB18" s="42" t="str">
        <f>CONCATENATE(Y18,"x",Z18,"mm")</f>
        <v>13.7x1.65mm</v>
      </c>
      <c r="AC18" s="62">
        <v>10</v>
      </c>
    </row>
    <row r="19" spans="12:29" x14ac:dyDescent="0.25">
      <c r="L19" s="6" t="s">
        <v>3</v>
      </c>
      <c r="M19" s="3"/>
      <c r="N19" s="49">
        <f>N18/N16</f>
        <v>17130.451720087574</v>
      </c>
      <c r="O19" s="49">
        <f t="shared" ref="O19:P19" si="3">O18/O16</f>
        <v>11269.38862594409</v>
      </c>
      <c r="P19" s="49">
        <f t="shared" si="3"/>
        <v>8609.0814401691659</v>
      </c>
      <c r="X19" s="60" t="s">
        <v>57</v>
      </c>
      <c r="Y19" s="61">
        <v>17.149999999999999</v>
      </c>
      <c r="Z19" s="61">
        <v>1.65</v>
      </c>
      <c r="AA19" s="61">
        <f t="shared" si="2"/>
        <v>13.849999999999998</v>
      </c>
      <c r="AB19" s="42" t="str">
        <f t="shared" ref="AB19:AB34" si="4">CONCATENATE(Y19,"x",Z19,"mm")</f>
        <v>17.15x1.65mm</v>
      </c>
      <c r="AC19" s="62">
        <v>10</v>
      </c>
    </row>
    <row r="20" spans="12:29" x14ac:dyDescent="0.25">
      <c r="L20" s="3" t="s">
        <v>44</v>
      </c>
      <c r="M20" s="3"/>
      <c r="N20" s="53">
        <f>N19/1000*N4</f>
        <v>2153.2977812150079</v>
      </c>
      <c r="O20" s="53">
        <f t="shared" ref="O20:P20" si="5">O19/1000*O4</f>
        <v>1133.2497202249378</v>
      </c>
      <c r="P20" s="53">
        <f t="shared" si="5"/>
        <v>757.51307592048488</v>
      </c>
      <c r="X20" s="60" t="s">
        <v>58</v>
      </c>
      <c r="Y20" s="61">
        <v>21.34</v>
      </c>
      <c r="Z20" s="61">
        <v>1.65</v>
      </c>
      <c r="AA20" s="61">
        <f t="shared" si="2"/>
        <v>18.04</v>
      </c>
      <c r="AB20" s="42" t="str">
        <f t="shared" si="4"/>
        <v>21.34x1.65mm</v>
      </c>
      <c r="AC20" s="62">
        <v>5</v>
      </c>
    </row>
    <row r="21" spans="12:29" x14ac:dyDescent="0.25">
      <c r="X21" s="60" t="s">
        <v>59</v>
      </c>
      <c r="Y21" s="61">
        <v>26.67</v>
      </c>
      <c r="Z21" s="61">
        <v>1.65</v>
      </c>
      <c r="AA21" s="61">
        <f t="shared" si="2"/>
        <v>23.37</v>
      </c>
      <c r="AB21" s="42" t="str">
        <f t="shared" si="4"/>
        <v>26.67x1.65mm</v>
      </c>
      <c r="AC21" s="62">
        <v>5</v>
      </c>
    </row>
    <row r="22" spans="12:29" x14ac:dyDescent="0.25">
      <c r="L22" s="1" t="s">
        <v>45</v>
      </c>
      <c r="N22" s="65">
        <f>$AA$31</f>
        <v>211.57999999999998</v>
      </c>
      <c r="O22" s="65">
        <f t="shared" ref="O22:P22" si="6">$AA$31</f>
        <v>211.57999999999998</v>
      </c>
      <c r="P22" s="65">
        <f t="shared" si="6"/>
        <v>211.57999999999998</v>
      </c>
      <c r="X22" s="60" t="s">
        <v>60</v>
      </c>
      <c r="Y22" s="61">
        <v>33.4</v>
      </c>
      <c r="Z22" s="61">
        <v>2.77</v>
      </c>
      <c r="AA22" s="61">
        <f t="shared" si="2"/>
        <v>27.86</v>
      </c>
      <c r="AB22" s="42" t="str">
        <f t="shared" si="4"/>
        <v>33.4x2.77mm</v>
      </c>
      <c r="AC22" s="62">
        <v>5</v>
      </c>
    </row>
    <row r="23" spans="12:29" x14ac:dyDescent="0.25">
      <c r="L23" s="1" t="s">
        <v>46</v>
      </c>
      <c r="N23" s="65">
        <f>N15/3600/(PI()*(N22/2000)^ 2)</f>
        <v>21.031035892116648</v>
      </c>
      <c r="O23" s="65">
        <f t="shared" ref="O23:P23" si="7">O15/3600/(PI()*(O22/2000)^ 2)</f>
        <v>16.824828713693318</v>
      </c>
      <c r="P23" s="65">
        <f t="shared" si="7"/>
        <v>14.721725124481653</v>
      </c>
      <c r="X23" s="60" t="s">
        <v>61</v>
      </c>
      <c r="Y23" s="61">
        <v>42.16</v>
      </c>
      <c r="Z23" s="61">
        <v>2.77</v>
      </c>
      <c r="AA23" s="61">
        <f t="shared" si="2"/>
        <v>36.619999999999997</v>
      </c>
      <c r="AB23" s="42" t="str">
        <f t="shared" si="4"/>
        <v>42.16x2.77mm</v>
      </c>
      <c r="AC23" s="62">
        <v>10</v>
      </c>
    </row>
    <row r="24" spans="12:29" x14ac:dyDescent="0.25">
      <c r="X24" s="60" t="s">
        <v>62</v>
      </c>
      <c r="Y24" s="61">
        <v>48.26</v>
      </c>
      <c r="Z24" s="61">
        <v>2.77</v>
      </c>
      <c r="AA24" s="61">
        <f t="shared" si="2"/>
        <v>42.72</v>
      </c>
      <c r="AB24" s="42" t="str">
        <f t="shared" si="4"/>
        <v>48.26x2.77mm</v>
      </c>
      <c r="AC24" s="62">
        <v>10</v>
      </c>
    </row>
    <row r="25" spans="12:29" x14ac:dyDescent="0.25">
      <c r="X25" s="60" t="s">
        <v>63</v>
      </c>
      <c r="Y25" s="61">
        <v>60.3</v>
      </c>
      <c r="Z25" s="61">
        <v>2.77</v>
      </c>
      <c r="AA25" s="61">
        <f t="shared" si="2"/>
        <v>54.76</v>
      </c>
      <c r="AB25" s="42" t="str">
        <f t="shared" si="4"/>
        <v>60.3x2.77mm</v>
      </c>
      <c r="AC25" s="62">
        <v>10</v>
      </c>
    </row>
    <row r="26" spans="12:29" x14ac:dyDescent="0.25">
      <c r="X26" s="56" t="s">
        <v>64</v>
      </c>
      <c r="Y26" s="57">
        <v>73.03</v>
      </c>
      <c r="Z26" s="57">
        <v>3.05</v>
      </c>
      <c r="AA26" s="57">
        <f t="shared" si="2"/>
        <v>66.930000000000007</v>
      </c>
      <c r="AB26" s="58" t="str">
        <f t="shared" si="4"/>
        <v>73.03x3.05mm</v>
      </c>
      <c r="AC26" s="59">
        <v>10</v>
      </c>
    </row>
    <row r="27" spans="12:29" x14ac:dyDescent="0.25">
      <c r="N27" s="1">
        <f>[1]!rho_(10,1.05,300)</f>
        <v>0.16841329620524839</v>
      </c>
      <c r="X27" s="60" t="s">
        <v>65</v>
      </c>
      <c r="Y27" s="61">
        <v>88.9</v>
      </c>
      <c r="Z27" s="61">
        <v>3.05</v>
      </c>
      <c r="AA27" s="61">
        <f t="shared" si="2"/>
        <v>82.800000000000011</v>
      </c>
      <c r="AB27" s="42" t="str">
        <f t="shared" si="4"/>
        <v>88.9x3.05mm</v>
      </c>
      <c r="AC27" s="62">
        <v>10</v>
      </c>
    </row>
    <row r="28" spans="12:29" x14ac:dyDescent="0.25">
      <c r="N28" s="1">
        <f>N4*3.6/N27</f>
        <v>2686.9612447256277</v>
      </c>
      <c r="X28" s="60" t="s">
        <v>66</v>
      </c>
      <c r="Y28" s="61">
        <v>114.3</v>
      </c>
      <c r="Z28" s="61">
        <v>3.05</v>
      </c>
      <c r="AA28" s="61">
        <f t="shared" si="2"/>
        <v>108.2</v>
      </c>
      <c r="AB28" s="42" t="str">
        <f t="shared" si="4"/>
        <v>114.3x3.05mm</v>
      </c>
      <c r="AC28" s="62">
        <v>10</v>
      </c>
    </row>
    <row r="29" spans="12:29" x14ac:dyDescent="0.25">
      <c r="X29" s="63" t="s">
        <v>67</v>
      </c>
      <c r="Y29" s="61">
        <v>141.30000000000001</v>
      </c>
      <c r="Z29" s="61">
        <v>3.4</v>
      </c>
      <c r="AA29" s="61">
        <f t="shared" si="2"/>
        <v>134.5</v>
      </c>
      <c r="AB29" s="42" t="str">
        <f t="shared" si="4"/>
        <v>141.3x3.4mm</v>
      </c>
      <c r="AC29" s="62">
        <v>10</v>
      </c>
    </row>
    <row r="30" spans="12:29" x14ac:dyDescent="0.25">
      <c r="X30" s="64" t="s">
        <v>68</v>
      </c>
      <c r="Y30" s="61">
        <v>168.3</v>
      </c>
      <c r="Z30" s="61">
        <v>3.4</v>
      </c>
      <c r="AA30" s="61">
        <f t="shared" si="2"/>
        <v>161.5</v>
      </c>
      <c r="AB30" s="42" t="str">
        <f t="shared" si="4"/>
        <v>168.3x3.4mm</v>
      </c>
      <c r="AC30" s="62">
        <v>10</v>
      </c>
    </row>
    <row r="31" spans="12:29" x14ac:dyDescent="0.25">
      <c r="X31" s="64" t="s">
        <v>69</v>
      </c>
      <c r="Y31" s="61">
        <v>219.1</v>
      </c>
      <c r="Z31" s="61">
        <v>3.76</v>
      </c>
      <c r="AA31" s="61">
        <f t="shared" si="2"/>
        <v>211.57999999999998</v>
      </c>
      <c r="AB31" s="42" t="str">
        <f t="shared" si="4"/>
        <v>219.1x3.76mm</v>
      </c>
      <c r="AC31" s="62">
        <v>10</v>
      </c>
    </row>
    <row r="32" spans="12:29" x14ac:dyDescent="0.25">
      <c r="X32" s="64" t="s">
        <v>70</v>
      </c>
      <c r="Y32" s="61">
        <v>273</v>
      </c>
      <c r="Z32" s="61">
        <v>4.1900000000000004</v>
      </c>
      <c r="AA32" s="61">
        <f t="shared" si="2"/>
        <v>264.62</v>
      </c>
      <c r="AB32" s="42" t="str">
        <f t="shared" si="4"/>
        <v>273x4.19mm</v>
      </c>
      <c r="AC32" s="62">
        <v>10</v>
      </c>
    </row>
    <row r="33" spans="14:29" x14ac:dyDescent="0.25">
      <c r="X33" s="64" t="s">
        <v>71</v>
      </c>
      <c r="Y33" s="61">
        <v>323.89999999999998</v>
      </c>
      <c r="Z33" s="61">
        <v>4.57</v>
      </c>
      <c r="AA33" s="61">
        <f t="shared" si="2"/>
        <v>314.76</v>
      </c>
      <c r="AB33" s="42" t="str">
        <f t="shared" si="4"/>
        <v>323.9x4.57mm</v>
      </c>
      <c r="AC33" s="62">
        <v>10</v>
      </c>
    </row>
    <row r="34" spans="14:29" x14ac:dyDescent="0.25">
      <c r="X34" s="64" t="s">
        <v>72</v>
      </c>
      <c r="Y34" s="61">
        <v>355.6</v>
      </c>
      <c r="Z34" s="61">
        <v>4.7699999999999996</v>
      </c>
      <c r="AA34" s="61">
        <f t="shared" si="2"/>
        <v>346.06</v>
      </c>
      <c r="AB34" s="42" t="str">
        <f t="shared" si="4"/>
        <v>355.6x4.77mm</v>
      </c>
      <c r="AC34" s="62">
        <v>10</v>
      </c>
    </row>
    <row r="42" spans="14:29" x14ac:dyDescent="0.25">
      <c r="N42" s="43"/>
    </row>
    <row r="43" spans="14:29" x14ac:dyDescent="0.25">
      <c r="N43" s="4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H12:X40"/>
  <sheetViews>
    <sheetView workbookViewId="0">
      <selection activeCell="J18" sqref="J18"/>
    </sheetView>
  </sheetViews>
  <sheetFormatPr defaultRowHeight="15" x14ac:dyDescent="0.25"/>
  <cols>
    <col min="24" max="24" width="12" bestFit="1" customWidth="1"/>
  </cols>
  <sheetData>
    <row r="12" spans="8:12" x14ac:dyDescent="0.25">
      <c r="I12" s="29" t="s">
        <v>15</v>
      </c>
      <c r="J12" s="29" t="s">
        <v>15</v>
      </c>
      <c r="K12" s="29" t="s">
        <v>15</v>
      </c>
      <c r="L12" s="29" t="s">
        <v>15</v>
      </c>
    </row>
    <row r="13" spans="8:12" x14ac:dyDescent="0.25">
      <c r="H13" s="5" t="s">
        <v>2</v>
      </c>
      <c r="I13" s="30">
        <v>150</v>
      </c>
      <c r="J13" s="30"/>
      <c r="K13" s="30"/>
      <c r="L13" s="30"/>
    </row>
    <row r="14" spans="8:12" x14ac:dyDescent="0.25">
      <c r="H14" s="21" t="s">
        <v>0</v>
      </c>
      <c r="I14" s="31">
        <v>4.0999999999999996</v>
      </c>
      <c r="J14" s="31">
        <v>0.03</v>
      </c>
      <c r="K14" s="31">
        <v>2.75E-2</v>
      </c>
      <c r="L14" s="31">
        <v>4.0999999999999996</v>
      </c>
    </row>
    <row r="15" spans="8:12" x14ac:dyDescent="0.25">
      <c r="H15" s="22" t="s">
        <v>1</v>
      </c>
      <c r="I15" s="32">
        <v>3.5</v>
      </c>
      <c r="J15" s="32">
        <v>3.5</v>
      </c>
      <c r="K15" s="32">
        <v>3.5</v>
      </c>
      <c r="L15" s="32">
        <v>3.5</v>
      </c>
    </row>
    <row r="16" spans="8:12" x14ac:dyDescent="0.25">
      <c r="H16" s="22" t="s">
        <v>7</v>
      </c>
      <c r="I16" s="15" t="e">
        <f ca="1">[4]!HECALC(8, 0, "P", I14 * 10^5, "T",I15, 1)</f>
        <v>#NAME?</v>
      </c>
      <c r="J16" s="15" t="e">
        <f ca="1">[4]!HECALC(8, 0, "P", J14 * 10^5, "T",J15, 1)</f>
        <v>#NAME?</v>
      </c>
      <c r="K16" s="15" t="e">
        <f ca="1">[4]!HECALC(8, 0, "P", K14 * 10^5, "T",K15, 1)</f>
        <v>#NAME?</v>
      </c>
      <c r="L16" s="15" t="e">
        <f ca="1">[4]!HECALC(8, 0, "P", L14 * 10^5, "T",L15, 1)</f>
        <v>#NAME?</v>
      </c>
    </row>
    <row r="17" spans="8:24" x14ac:dyDescent="0.25">
      <c r="H17" s="22" t="s">
        <v>8</v>
      </c>
      <c r="I17" s="15" t="e">
        <f ca="1">[4]!HECALC(9, 0, "P", I14 * 10^5, "T",I15, 1)</f>
        <v>#NAME?</v>
      </c>
      <c r="J17" s="15" t="e">
        <f ca="1">[4]!HECALC(9, 0, "P", J14 * 10^5, "T",J15, 1)</f>
        <v>#NAME?</v>
      </c>
      <c r="K17" s="15" t="e">
        <f ca="1">[4]!HECALC(9, 0, "P", K14 * 10^5, "T",K15, 1)</f>
        <v>#NAME?</v>
      </c>
      <c r="L17" s="15" t="e">
        <f ca="1">[4]!HECALC(9, 0, "P", L14 * 10^5, "T",L15, 1)</f>
        <v>#NAME?</v>
      </c>
    </row>
    <row r="18" spans="8:24" x14ac:dyDescent="0.25">
      <c r="H18" s="23" t="s">
        <v>9</v>
      </c>
      <c r="I18" s="17" t="e">
        <f ca="1">[4]!HECALC(3, 0, "P", I14 * 10^5, "T",I15, 1)</f>
        <v>#NAME?</v>
      </c>
      <c r="J18" s="17" t="e">
        <f ca="1">[4]!HECALC(3, 0, "P", J14 * 10^5, "T",J15, 1)</f>
        <v>#NAME?</v>
      </c>
      <c r="K18" s="17" t="e">
        <f ca="1">[4]!HECALC(3, 0, "P", K14 * 10^5, "T",K15, 1)</f>
        <v>#NAME?</v>
      </c>
      <c r="L18" s="17" t="e">
        <f ca="1">[4]!HECALC(3, 0, "P", L14 * 10^5, "T",L15, 1)</f>
        <v>#NAME?</v>
      </c>
    </row>
    <row r="19" spans="8:24" x14ac:dyDescent="0.25">
      <c r="H19" s="23" t="s">
        <v>9</v>
      </c>
      <c r="I19" s="17" t="e">
        <f ca="1">[4]!HECALC(0, 0, "P", I14 * 10^5, "T",I15, 1)</f>
        <v>#NAME?</v>
      </c>
      <c r="J19" s="17" t="e">
        <f ca="1">[4]!HECALC(0, 0, "P", J14 * 10^5, "T",J15, 1)</f>
        <v>#NAME?</v>
      </c>
      <c r="K19" s="17" t="e">
        <f ca="1">[4]!HECALC(0, 0, "P", K14 * 10^5, "T",K15, 1)</f>
        <v>#NAME?</v>
      </c>
      <c r="L19" s="17" t="e">
        <f ca="1">[4]!HECALC(0, 0, "P", L14 * 10^5, "T",L15, 1)</f>
        <v>#NAME?</v>
      </c>
    </row>
    <row r="24" spans="8:24" x14ac:dyDescent="0.25">
      <c r="P24">
        <f>0.03</f>
        <v>0.03</v>
      </c>
    </row>
    <row r="25" spans="8:24" x14ac:dyDescent="0.25">
      <c r="P25">
        <f>0.0275</f>
        <v>2.75E-2</v>
      </c>
    </row>
    <row r="26" spans="8:24" x14ac:dyDescent="0.25">
      <c r="P26">
        <f>P24-P25</f>
        <v>2.4999999999999988E-3</v>
      </c>
      <c r="Q26">
        <f>P26*1000</f>
        <v>2.4999999999999987</v>
      </c>
      <c r="R26" t="s">
        <v>16</v>
      </c>
    </row>
    <row r="28" spans="8:24" ht="15.75" thickBot="1" x14ac:dyDescent="0.3"/>
    <row r="29" spans="8:24" ht="15.75" thickBot="1" x14ac:dyDescent="0.3">
      <c r="Q29" s="33" t="s">
        <v>17</v>
      </c>
      <c r="R29" s="34">
        <v>3.2</v>
      </c>
    </row>
    <row r="30" spans="8:24" ht="15.75" thickBot="1" x14ac:dyDescent="0.3">
      <c r="Q30" s="35" t="s">
        <v>18</v>
      </c>
      <c r="R30" s="36">
        <v>3.09</v>
      </c>
      <c r="S30">
        <f>R29-R30</f>
        <v>0.11000000000000032</v>
      </c>
      <c r="T30">
        <f>S30*1000</f>
        <v>110.00000000000031</v>
      </c>
      <c r="U30" t="s">
        <v>16</v>
      </c>
    </row>
    <row r="31" spans="8:24" ht="15.75" thickBot="1" x14ac:dyDescent="0.3">
      <c r="Q31" s="37" t="s">
        <v>19</v>
      </c>
      <c r="R31" s="38">
        <v>0.03</v>
      </c>
      <c r="W31">
        <f>1%*R31</f>
        <v>2.9999999999999997E-4</v>
      </c>
      <c r="X31">
        <f>W31*1000</f>
        <v>0.3</v>
      </c>
    </row>
    <row r="32" spans="8:24" ht="15.75" thickBot="1" x14ac:dyDescent="0.3">
      <c r="Q32" s="35" t="s">
        <v>20</v>
      </c>
      <c r="R32" s="36">
        <v>2.75E-2</v>
      </c>
      <c r="S32">
        <f>R31-R32</f>
        <v>2.4999999999999988E-3</v>
      </c>
      <c r="T32">
        <f>S32*1000</f>
        <v>2.4999999999999987</v>
      </c>
      <c r="U32" t="s">
        <v>16</v>
      </c>
      <c r="W32">
        <f>1%*S32</f>
        <v>2.4999999999999988E-5</v>
      </c>
      <c r="X32">
        <f>W32*1000</f>
        <v>2.4999999999999988E-2</v>
      </c>
    </row>
    <row r="33" spans="17:21" ht="15.75" thickBot="1" x14ac:dyDescent="0.3">
      <c r="Q33" s="37" t="s">
        <v>21</v>
      </c>
      <c r="R33" s="38">
        <v>3.2</v>
      </c>
    </row>
    <row r="34" spans="17:21" ht="15.75" thickBot="1" x14ac:dyDescent="0.3">
      <c r="Q34" s="35" t="s">
        <v>22</v>
      </c>
      <c r="R34" s="36">
        <v>3.15</v>
      </c>
      <c r="S34">
        <f>R33-R34</f>
        <v>5.0000000000000266E-2</v>
      </c>
      <c r="T34">
        <f>S34*1000</f>
        <v>50.00000000000027</v>
      </c>
      <c r="U34" t="s">
        <v>16</v>
      </c>
    </row>
    <row r="35" spans="17:21" ht="15.75" thickBot="1" x14ac:dyDescent="0.3">
      <c r="Q35" s="37" t="s">
        <v>23</v>
      </c>
      <c r="R35" s="38">
        <v>2.9</v>
      </c>
    </row>
    <row r="36" spans="17:21" ht="15.75" thickBot="1" x14ac:dyDescent="0.3">
      <c r="Q36" s="35" t="s">
        <v>24</v>
      </c>
      <c r="R36" s="36">
        <v>2.85</v>
      </c>
      <c r="S36">
        <f>R35-R36</f>
        <v>4.9999999999999822E-2</v>
      </c>
      <c r="T36">
        <f>S36*1000</f>
        <v>49.999999999999822</v>
      </c>
      <c r="U36" t="s">
        <v>16</v>
      </c>
    </row>
    <row r="37" spans="17:21" ht="15.75" thickBot="1" x14ac:dyDescent="0.3">
      <c r="Q37" s="37" t="s">
        <v>25</v>
      </c>
      <c r="R37" s="38">
        <v>3.7</v>
      </c>
    </row>
    <row r="38" spans="17:21" ht="15.75" thickBot="1" x14ac:dyDescent="0.3">
      <c r="Q38" s="35" t="s">
        <v>26</v>
      </c>
      <c r="R38" s="36">
        <v>3.63</v>
      </c>
      <c r="S38">
        <f>R37-R38</f>
        <v>7.0000000000000284E-2</v>
      </c>
      <c r="T38">
        <f>S38*1000</f>
        <v>70.000000000000284</v>
      </c>
      <c r="U38" t="s">
        <v>16</v>
      </c>
    </row>
    <row r="39" spans="17:21" ht="15.75" thickBot="1" x14ac:dyDescent="0.3">
      <c r="Q39" s="37" t="s">
        <v>27</v>
      </c>
      <c r="R39" s="38">
        <v>2.9</v>
      </c>
    </row>
    <row r="40" spans="17:21" ht="15.75" thickBot="1" x14ac:dyDescent="0.3">
      <c r="Q40" s="35" t="s">
        <v>28</v>
      </c>
      <c r="R40" s="36">
        <v>2.85</v>
      </c>
      <c r="S40">
        <f>R39-R40</f>
        <v>4.9999999999999822E-2</v>
      </c>
      <c r="T40">
        <f>S40*1000</f>
        <v>49.999999999999822</v>
      </c>
      <c r="U40" t="s">
        <v>16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M12"/>
  <sheetViews>
    <sheetView workbookViewId="0">
      <selection activeCell="C12" sqref="C12"/>
    </sheetView>
  </sheetViews>
  <sheetFormatPr defaultRowHeight="15" x14ac:dyDescent="0.25"/>
  <cols>
    <col min="1" max="5" width="9.140625" style="1"/>
    <col min="6" max="12" width="11.5703125" style="1" bestFit="1" customWidth="1"/>
    <col min="13" max="13" width="9.42578125" style="1" bestFit="1" customWidth="1"/>
    <col min="14" max="16384" width="9.140625" style="1"/>
  </cols>
  <sheetData>
    <row r="2" spans="2:13" x14ac:dyDescent="0.25">
      <c r="B2" s="70" t="s">
        <v>54</v>
      </c>
    </row>
    <row r="4" spans="2:13" x14ac:dyDescent="0.25">
      <c r="D4" s="1" t="s">
        <v>48</v>
      </c>
      <c r="E4" s="1" t="s">
        <v>49</v>
      </c>
      <c r="F4" s="1">
        <v>4000</v>
      </c>
      <c r="G4" s="1">
        <v>4000</v>
      </c>
      <c r="H4" s="1">
        <v>4000</v>
      </c>
      <c r="I4" s="1">
        <v>4000</v>
      </c>
      <c r="J4" s="1">
        <v>4000</v>
      </c>
      <c r="K4" s="1">
        <v>4000</v>
      </c>
      <c r="L4" s="1">
        <v>4000</v>
      </c>
      <c r="M4" s="1">
        <v>4000</v>
      </c>
    </row>
    <row r="5" spans="2:13" x14ac:dyDescent="0.25">
      <c r="D5" s="1" t="s">
        <v>30</v>
      </c>
      <c r="E5" s="1" t="s">
        <v>37</v>
      </c>
      <c r="F5" s="47">
        <f>F4/3600*1000*F8</f>
        <v>26.743254239160944</v>
      </c>
      <c r="G5" s="47">
        <f t="shared" ref="G5:M5" si="0">G4/3600*1000*G8</f>
        <v>30.563420122802697</v>
      </c>
      <c r="H5" s="47">
        <f t="shared" si="0"/>
        <v>35.656858362069514</v>
      </c>
      <c r="I5" s="47">
        <f t="shared" si="0"/>
        <v>42.787448661660527</v>
      </c>
      <c r="J5" s="47">
        <f t="shared" si="0"/>
        <v>53.482845806612268</v>
      </c>
      <c r="K5" s="47">
        <f t="shared" si="0"/>
        <v>71.307205664975669</v>
      </c>
      <c r="L5" s="47">
        <f t="shared" si="0"/>
        <v>106.95104333780681</v>
      </c>
      <c r="M5" s="47">
        <f t="shared" si="0"/>
        <v>213.84351287456735</v>
      </c>
    </row>
    <row r="6" spans="2:13" x14ac:dyDescent="0.25">
      <c r="D6" s="1" t="s">
        <v>32</v>
      </c>
      <c r="E6" s="1" t="s">
        <v>36</v>
      </c>
      <c r="F6" s="1">
        <v>300</v>
      </c>
      <c r="G6" s="1">
        <v>300</v>
      </c>
      <c r="H6" s="1">
        <v>300</v>
      </c>
      <c r="I6" s="1">
        <v>300</v>
      </c>
      <c r="J6" s="1">
        <v>300</v>
      </c>
      <c r="K6" s="1">
        <v>300</v>
      </c>
      <c r="L6" s="1">
        <v>300</v>
      </c>
      <c r="M6" s="1">
        <v>300</v>
      </c>
    </row>
    <row r="7" spans="2:13" x14ac:dyDescent="0.25">
      <c r="D7" s="1" t="s">
        <v>31</v>
      </c>
      <c r="E7" s="1" t="s">
        <v>50</v>
      </c>
      <c r="F7" s="1">
        <f t="shared" ref="F7:M7" si="1">F9/F10</f>
        <v>0.15</v>
      </c>
      <c r="G7" s="1">
        <f t="shared" si="1"/>
        <v>0.17142857142857143</v>
      </c>
      <c r="H7" s="1">
        <f t="shared" si="1"/>
        <v>0.19999999999999998</v>
      </c>
      <c r="I7" s="1">
        <f t="shared" si="1"/>
        <v>0.24</v>
      </c>
      <c r="J7" s="1">
        <f t="shared" si="1"/>
        <v>0.3</v>
      </c>
      <c r="K7" s="1">
        <f t="shared" si="1"/>
        <v>0.39999999999999997</v>
      </c>
      <c r="L7" s="1">
        <f t="shared" si="1"/>
        <v>0.6</v>
      </c>
      <c r="M7" s="1">
        <f t="shared" si="1"/>
        <v>1.2</v>
      </c>
    </row>
    <row r="8" spans="2:13" x14ac:dyDescent="0.25">
      <c r="D8" s="1" t="s">
        <v>9</v>
      </c>
      <c r="E8" s="1" t="s">
        <v>51</v>
      </c>
      <c r="F8" s="1">
        <f>[1]!rho_(10,F7,F6)</f>
        <v>2.4068928815244851E-2</v>
      </c>
      <c r="G8" s="1">
        <f>[1]!rho_(10,G7,G6)</f>
        <v>2.7507078110522429E-2</v>
      </c>
      <c r="H8" s="1">
        <f>[1]!rho_(10,H7,H6)</f>
        <v>3.2091172525862563E-2</v>
      </c>
      <c r="I8" s="1">
        <f>[1]!rho_(10,I7,I6)</f>
        <v>3.8508703795494474E-2</v>
      </c>
      <c r="J8" s="1">
        <f>[1]!rho_(10,J7,J6)</f>
        <v>4.8134561225951042E-2</v>
      </c>
      <c r="K8" s="1">
        <f>[1]!rho_(10,K7,K6)</f>
        <v>6.4176485098478106E-2</v>
      </c>
      <c r="L8" s="1">
        <f>[1]!rho_(10,L7,L6)</f>
        <v>9.6255939004026125E-2</v>
      </c>
      <c r="M8" s="1">
        <f>[1]!rho_(10,M7,M6)</f>
        <v>0.19245916158711063</v>
      </c>
    </row>
    <row r="9" spans="2:13" x14ac:dyDescent="0.25">
      <c r="D9" s="1" t="s">
        <v>47</v>
      </c>
      <c r="E9" s="1" t="s">
        <v>50</v>
      </c>
      <c r="F9" s="1">
        <v>1.2</v>
      </c>
      <c r="G9" s="1">
        <v>1.2</v>
      </c>
      <c r="H9" s="1">
        <v>1.2</v>
      </c>
      <c r="I9" s="1">
        <v>1.2</v>
      </c>
      <c r="J9" s="1">
        <v>1.2</v>
      </c>
      <c r="K9" s="1">
        <v>1.2</v>
      </c>
      <c r="L9" s="1">
        <v>1.2</v>
      </c>
      <c r="M9" s="1">
        <v>1.2</v>
      </c>
    </row>
    <row r="10" spans="2:13" x14ac:dyDescent="0.25">
      <c r="D10" s="1" t="s">
        <v>12</v>
      </c>
      <c r="F10" s="1">
        <v>8</v>
      </c>
      <c r="G10" s="1">
        <v>7</v>
      </c>
      <c r="H10" s="1">
        <v>6</v>
      </c>
      <c r="I10" s="1">
        <v>5</v>
      </c>
      <c r="J10" s="1">
        <v>4</v>
      </c>
      <c r="K10" s="1">
        <v>3</v>
      </c>
      <c r="L10" s="1">
        <v>2</v>
      </c>
      <c r="M10" s="1">
        <v>1</v>
      </c>
    </row>
    <row r="11" spans="2:13" x14ac:dyDescent="0.25">
      <c r="B11" s="54" t="s">
        <v>52</v>
      </c>
      <c r="F11" s="55">
        <f>F5*8.312*F6/4*LN(F10)</f>
        <v>34667.918486266011</v>
      </c>
      <c r="G11" s="55">
        <f t="shared" ref="G11:M11" si="2">G5*8.312*G6/4*LN(G10)</f>
        <v>37075.885508201085</v>
      </c>
      <c r="H11" s="55">
        <f t="shared" si="2"/>
        <v>39828.099386444941</v>
      </c>
      <c r="I11" s="55">
        <f t="shared" si="2"/>
        <v>42929.656795468749</v>
      </c>
      <c r="J11" s="55">
        <f t="shared" si="2"/>
        <v>46220.725975876114</v>
      </c>
      <c r="K11" s="55">
        <f t="shared" si="2"/>
        <v>48836.51540296647</v>
      </c>
      <c r="L11" s="55">
        <f t="shared" si="2"/>
        <v>46214.39633957974</v>
      </c>
      <c r="M11" s="55">
        <f t="shared" si="2"/>
        <v>0</v>
      </c>
    </row>
    <row r="12" spans="2:13" x14ac:dyDescent="0.25">
      <c r="B12" s="54" t="s">
        <v>53</v>
      </c>
      <c r="F12" s="55">
        <f>F7*10^5*F4/3600*(LN(F10))</f>
        <v>34657.359027997263</v>
      </c>
      <c r="G12" s="55">
        <f t="shared" ref="G12:M12" si="3">G7*10^5*G4/3600*(LN(G10))</f>
        <v>37064.955220101197</v>
      </c>
      <c r="H12" s="55">
        <f t="shared" si="3"/>
        <v>39816.877093956777</v>
      </c>
      <c r="I12" s="55">
        <f t="shared" si="3"/>
        <v>42918.344331576009</v>
      </c>
      <c r="J12" s="55">
        <f t="shared" si="3"/>
        <v>46209.812037329692</v>
      </c>
      <c r="K12" s="55">
        <f t="shared" si="3"/>
        <v>48827.212829693766</v>
      </c>
      <c r="L12" s="55">
        <f t="shared" si="3"/>
        <v>46209.812037329692</v>
      </c>
      <c r="M12" s="55">
        <f t="shared" si="3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8:S40"/>
  <sheetViews>
    <sheetView zoomScale="115" zoomScaleNormal="115" workbookViewId="0">
      <selection activeCell="C40" sqref="C40"/>
    </sheetView>
  </sheetViews>
  <sheetFormatPr defaultRowHeight="15" x14ac:dyDescent="0.25"/>
  <cols>
    <col min="3" max="3" width="15.42578125" customWidth="1"/>
  </cols>
  <sheetData>
    <row r="8" spans="17:19" x14ac:dyDescent="0.25">
      <c r="Q8">
        <v>300</v>
      </c>
      <c r="R8">
        <v>4.5</v>
      </c>
      <c r="S8" t="s">
        <v>29</v>
      </c>
    </row>
    <row r="34" spans="2:6" x14ac:dyDescent="0.25">
      <c r="C34" s="29" t="s">
        <v>15</v>
      </c>
      <c r="D34" s="29" t="s">
        <v>15</v>
      </c>
      <c r="E34" s="29" t="s">
        <v>15</v>
      </c>
      <c r="F34" s="29" t="s">
        <v>15</v>
      </c>
    </row>
    <row r="35" spans="2:6" x14ac:dyDescent="0.25">
      <c r="B35" s="5" t="s">
        <v>2</v>
      </c>
      <c r="C35" s="30">
        <v>150</v>
      </c>
      <c r="D35" s="30"/>
      <c r="E35" s="30"/>
      <c r="F35" s="30"/>
    </row>
    <row r="36" spans="2:6" x14ac:dyDescent="0.25">
      <c r="B36" s="21" t="s">
        <v>0</v>
      </c>
      <c r="C36" s="31">
        <v>10</v>
      </c>
      <c r="D36" s="31">
        <v>10</v>
      </c>
      <c r="E36" s="31">
        <v>2.75E-2</v>
      </c>
      <c r="F36" s="31">
        <v>4.0999999999999996</v>
      </c>
    </row>
    <row r="37" spans="2:6" x14ac:dyDescent="0.25">
      <c r="B37" s="22" t="s">
        <v>1</v>
      </c>
      <c r="C37" s="32">
        <v>300</v>
      </c>
      <c r="D37" s="32">
        <v>4.5</v>
      </c>
      <c r="E37" s="32">
        <v>3.5</v>
      </c>
      <c r="F37" s="32">
        <v>3.5</v>
      </c>
    </row>
    <row r="38" spans="2:6" x14ac:dyDescent="0.25">
      <c r="B38" s="22" t="s">
        <v>8</v>
      </c>
      <c r="C38" s="15" t="e">
        <f ca="1">[4]!HECALC(9, 0, "P", C36 * 10^5, "T",C37, 1)</f>
        <v>#NAME?</v>
      </c>
      <c r="D38" s="15" t="e">
        <f ca="1">[4]!HECALC(9, 0, "P", D36 * 10^5, "T",D37, 1)</f>
        <v>#NAME?</v>
      </c>
      <c r="E38" s="15" t="e">
        <f ca="1">[4]!HECALC(9, 0, "P", E36 * 10^5, "T",E37, 1)</f>
        <v>#NAME?</v>
      </c>
      <c r="F38" s="15" t="e">
        <f ca="1">[4]!HECALC(9, 0, "P", F36 * 10^5, "T",F37, 1)</f>
        <v>#NAME?</v>
      </c>
    </row>
    <row r="39" spans="2:6" x14ac:dyDescent="0.25">
      <c r="B39" s="23" t="s">
        <v>9</v>
      </c>
      <c r="C39" s="17" t="e">
        <f ca="1">[4]!HECALC(3, 0, "P", C36 * 10^5, "T",C37, 1)</f>
        <v>#NAME?</v>
      </c>
      <c r="D39" s="17" t="e">
        <f ca="1">[4]!HECALC(3, 0, "P", D36 * 10^5, "T",D37, 1)</f>
        <v>#NAME?</v>
      </c>
      <c r="E39" s="17" t="e">
        <f ca="1">[4]!HECALC(3, 0, "P", E36 * 10^5, "T",E37, 1)</f>
        <v>#NAME?</v>
      </c>
      <c r="F39" s="17" t="e">
        <f ca="1">[4]!HECALC(3, 0, "P", F36 * 10^5, "T",F37, 1)</f>
        <v>#NAME?</v>
      </c>
    </row>
    <row r="40" spans="2:6" x14ac:dyDescent="0.25">
      <c r="B40" s="23" t="s">
        <v>9</v>
      </c>
      <c r="C40" s="17" t="e">
        <f ca="1">[4]!HECALC(0, 0, "P", C36 * 10^5, "T",C37, 1)</f>
        <v>#NAME?</v>
      </c>
      <c r="D40" s="17" t="e">
        <f ca="1">[4]!HECALC(0, 0, "P", D36 * 10^5, "T",D37, 1)</f>
        <v>#NAME?</v>
      </c>
      <c r="E40" s="17" t="e">
        <f ca="1">[4]!HECALC(0, 0, "P", E36 * 10^5, "T",E37, 1)</f>
        <v>#NAME?</v>
      </c>
      <c r="F40" s="17" t="e">
        <f ca="1">[4]!HECALC(0, 0, "P", F36 * 10^5, "T",F37, 1)</f>
        <v>#NAME?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sqref="A1:XFD1048576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E15:K29"/>
  <sheetViews>
    <sheetView zoomScale="90" zoomScaleNormal="90" workbookViewId="0">
      <selection activeCell="M39" sqref="M39"/>
    </sheetView>
  </sheetViews>
  <sheetFormatPr defaultRowHeight="15" x14ac:dyDescent="0.25"/>
  <sheetData>
    <row r="15" spans="9:11" x14ac:dyDescent="0.25">
      <c r="I15">
        <v>107.245</v>
      </c>
      <c r="J15">
        <v>92.9</v>
      </c>
      <c r="K15">
        <f>1-J15/I15</f>
        <v>0.13375914961070445</v>
      </c>
    </row>
    <row r="16" spans="9:11" x14ac:dyDescent="0.25">
      <c r="I16">
        <v>117.446</v>
      </c>
      <c r="J16">
        <v>101.7</v>
      </c>
      <c r="K16">
        <f t="shared" ref="K16:K20" si="0">1-J16/I16</f>
        <v>0.13407012584506917</v>
      </c>
    </row>
    <row r="17" spans="5:11" x14ac:dyDescent="0.25">
      <c r="I17">
        <v>179.53100000000001</v>
      </c>
      <c r="J17">
        <v>155</v>
      </c>
      <c r="K17">
        <f t="shared" si="0"/>
        <v>0.13663935476324429</v>
      </c>
    </row>
    <row r="18" spans="5:11" x14ac:dyDescent="0.25">
      <c r="I18">
        <v>274.75400000000002</v>
      </c>
      <c r="J18">
        <v>237.3</v>
      </c>
      <c r="K18">
        <f t="shared" si="0"/>
        <v>0.13631830655786636</v>
      </c>
    </row>
    <row r="19" spans="5:11" x14ac:dyDescent="0.25">
      <c r="I19">
        <v>420.89499999999998</v>
      </c>
      <c r="J19">
        <v>363.12400000000002</v>
      </c>
      <c r="K19">
        <f t="shared" si="0"/>
        <v>0.13725751078059845</v>
      </c>
    </row>
    <row r="20" spans="5:11" x14ac:dyDescent="0.25">
      <c r="I20">
        <v>645.41099999999994</v>
      </c>
      <c r="J20">
        <v>556.31899999999996</v>
      </c>
      <c r="K20">
        <f t="shared" si="0"/>
        <v>0.13803917193850124</v>
      </c>
    </row>
    <row r="23" spans="5:11" x14ac:dyDescent="0.25">
      <c r="E23" t="s">
        <v>79</v>
      </c>
      <c r="F23">
        <v>2</v>
      </c>
    </row>
    <row r="24" spans="5:11" x14ac:dyDescent="0.25">
      <c r="E24" t="s">
        <v>83</v>
      </c>
      <c r="F24">
        <f>[1]!P_sat(10,F23)</f>
        <v>3.1292617716093249E-2</v>
      </c>
    </row>
    <row r="25" spans="5:11" x14ac:dyDescent="0.25">
      <c r="E25" t="s">
        <v>84</v>
      </c>
      <c r="F25" s="83">
        <f>[1]!h_(10,F24,F23+0.0001)</f>
        <v>25.04164111974147</v>
      </c>
    </row>
    <row r="26" spans="5:11" x14ac:dyDescent="0.25">
      <c r="F26" s="83">
        <f>[1]!h_(10,F24,F23-0.0001)</f>
        <v>1.6417169648617356</v>
      </c>
    </row>
    <row r="27" spans="5:11" x14ac:dyDescent="0.25">
      <c r="F27" s="83">
        <f>F25-F26</f>
        <v>23.399924154879734</v>
      </c>
      <c r="G27" t="s">
        <v>85</v>
      </c>
    </row>
    <row r="28" spans="5:11" x14ac:dyDescent="0.25">
      <c r="F28">
        <v>80</v>
      </c>
    </row>
    <row r="29" spans="5:11" x14ac:dyDescent="0.25">
      <c r="F29">
        <f>F28*F27</f>
        <v>1871.9939323903786</v>
      </c>
      <c r="G29">
        <f>(300-2)/2</f>
        <v>149</v>
      </c>
      <c r="H29">
        <f>25%</f>
        <v>0.25</v>
      </c>
      <c r="I29">
        <f>F29*G29</f>
        <v>278927.0959261664</v>
      </c>
      <c r="J29">
        <f>I29/H29</f>
        <v>1115708.3837046656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Calc</vt:lpstr>
      <vt:lpstr>SNS</vt:lpstr>
      <vt:lpstr>Sheet5</vt:lpstr>
      <vt:lpstr>Sheet2</vt:lpstr>
      <vt:lpstr>Warm compressor</vt:lpstr>
      <vt:lpstr>Sheet4</vt:lpstr>
      <vt:lpstr>Sheet6</vt:lpstr>
      <vt:lpstr>Sheet1</vt:lpstr>
    </vt:vector>
  </TitlesOfParts>
  <Company>SLAC National Accelerator Laboratory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Heloin, Vincent</dc:creator>
  <cp:lastModifiedBy>vincent</cp:lastModifiedBy>
  <dcterms:created xsi:type="dcterms:W3CDTF">2015-10-16T18:22:40Z</dcterms:created>
  <dcterms:modified xsi:type="dcterms:W3CDTF">2016-05-25T00:03:54Z</dcterms:modified>
</cp:coreProperties>
</file>