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9.xml" ContentType="application/vnd.openxmlformats-officedocument.spreadsheetml.externalLink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drawings/drawing17.xml" ContentType="application/vnd.openxmlformats-officedocument.drawing+xml"/>
  <Override PartName="/xl/drawings/drawing28.xml" ContentType="application/vnd.openxmlformats-officedocument.drawing+xml"/>
  <Default Extension="xml" ContentType="application/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embeddings/oleObject9.bin" ContentType="application/vnd.openxmlformats-officedocument.oleObject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15.bin" ContentType="application/vnd.openxmlformats-officedocument.oleObject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8.xml" ContentType="application/vnd.openxmlformats-officedocument.spreadsheetml.externalLink+xml"/>
  <Override PartName="/xl/drawings/drawing7.xml" ContentType="application/vnd.openxmlformats-officedocument.drawing+xml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Default Extension="emf" ContentType="image/x-emf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embeddings/oleObject3.bin" ContentType="application/vnd.openxmlformats-officedocument.oleObject"/>
  <Override PartName="/xl/embeddings/oleObject11.bin" ContentType="application/vnd.openxmlformats-officedocument.oleObject"/>
  <Default Extension="jpeg" ContentType="image/jpeg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embeddings/oleObject1.bin" ContentType="application/vnd.openxmlformats-officedocument.oleObject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Default Extension="wmf" ContentType="image/x-wmf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drawings/drawing15.xml" ContentType="application/vnd.openxmlformats-officedocument.drawing+xml"/>
  <Override PartName="/xl/drawings/drawing26.xml" ContentType="application/vnd.openxmlformats-officedocument.drawing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drawings/drawing2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710" yWindow="-15" windowWidth="7515" windowHeight="5910" tabRatio="873" activeTab="6"/>
  </bookViews>
  <sheets>
    <sheet name="Sheet7" sheetId="80" r:id="rId1"/>
    <sheet name="Sheet5" sheetId="77" r:id="rId2"/>
    <sheet name="Sheet5 (2)" sheetId="78" r:id="rId3"/>
    <sheet name="Sheet4" sheetId="76" r:id="rId4"/>
    <sheet name="Sheet3" sheetId="73" r:id="rId5"/>
    <sheet name="Sheet3 (2)" sheetId="75" r:id="rId6"/>
    <sheet name="Sheet2" sheetId="71" r:id="rId7"/>
    <sheet name="Turbines" sheetId="40" r:id="rId8"/>
    <sheet name="Heat Loads" sheetId="67" r:id="rId9"/>
    <sheet name="Sheet1" sheetId="69" r:id="rId10"/>
    <sheet name="RHEA" sheetId="70" r:id="rId11"/>
    <sheet name="calcul" sheetId="36" r:id="rId12"/>
    <sheet name="calcul (2)" sheetId="74" r:id="rId13"/>
    <sheet name="DRYER" sheetId="64" r:id="rId14"/>
    <sheet name="model" sheetId="59" r:id="rId15"/>
    <sheet name="Heat Losses" sheetId="66" r:id="rId16"/>
    <sheet name="CRYO_AB_PSV" sheetId="68" r:id="rId17"/>
    <sheet name="model (2)" sheetId="60" r:id="rId18"/>
    <sheet name="HX_eau" sheetId="58" r:id="rId19"/>
    <sheet name="Property GasPak" sheetId="23" r:id="rId20"/>
    <sheet name="HX" sheetId="55" r:id="rId21"/>
    <sheet name="Matériaux" sheetId="54" r:id="rId22"/>
    <sheet name="Table" sheetId="51" r:id="rId23"/>
    <sheet name="Vanne_Charge&amp;Décharge" sheetId="45" r:id="rId24"/>
    <sheet name="After_Cooler" sheetId="47" r:id="rId25"/>
    <sheet name="Warm Lines" sheetId="56" r:id="rId26"/>
    <sheet name="DP_line" sheetId="61" r:id="rId27"/>
    <sheet name="DP_Lignes" sheetId="52" r:id="rId28"/>
    <sheet name="DP-ORS" sheetId="39" r:id="rId29"/>
    <sheet name="DP-Filtre" sheetId="72" r:id="rId30"/>
    <sheet name="DP-Adsorbers" sheetId="50" r:id="rId31"/>
    <sheet name="DP-HX" sheetId="49" r:id="rId32"/>
    <sheet name="DP-HX (2)" sheetId="53" r:id="rId33"/>
    <sheet name="Compresseur" sheetId="41" r:id="rId34"/>
    <sheet name="Helial" sheetId="43" r:id="rId35"/>
    <sheet name="Teneur H2O" sheetId="38" r:id="rId36"/>
    <sheet name="Exergie" sheetId="37" r:id="rId37"/>
    <sheet name="Turbine Réguléé à 2205 Hz" sheetId="35" r:id="rId38"/>
    <sheet name="Turbine  Libre" sheetId="34" r:id="rId39"/>
    <sheet name="Property HePak" sheetId="24" r:id="rId40"/>
    <sheet name="Fluides" sheetId="8" r:id="rId41"/>
    <sheet name="Pipe diameter" sheetId="57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Dim1">#REF!</definedName>
    <definedName name="_Dim2">#REF!</definedName>
    <definedName name="_fdi1">#REF!</definedName>
    <definedName name="_fdi2">#REF!</definedName>
    <definedName name="_xlnm._FilterDatabase" localSheetId="41" hidden="1">'Pipe diameter'!#REF!</definedName>
    <definedName name="_Nu1">#REF!</definedName>
    <definedName name="_Nu2">#REF!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Res6">#REF!</definedName>
    <definedName name="_Res7">#REF!</definedName>
    <definedName name="_Res8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yp1">#REF!</definedName>
    <definedName name="_Typ2">#REF!</definedName>
    <definedName name="_Typ3">#REF!</definedName>
    <definedName name="_Typ4">#REF!</definedName>
    <definedName name="_Typ5">#REF!</definedName>
    <definedName name="_Typ6">#REF!</definedName>
    <definedName name="_Typ7">#REF!</definedName>
    <definedName name="_Typ8">#REF!</definedName>
    <definedName name="_Val1">#REF!</definedName>
    <definedName name="_Val2">#REF!</definedName>
    <definedName name="_Val3">#REF!</definedName>
    <definedName name="a">#REF!</definedName>
    <definedName name="ActuatorType">#REF!</definedName>
    <definedName name="Affcode" localSheetId="2">#REF!</definedName>
    <definedName name="Affcode">#REF!</definedName>
    <definedName name="Affcp">#REF!</definedName>
    <definedName name="Affcpl">#REF!</definedName>
    <definedName name="Affcpv">#REF!</definedName>
    <definedName name="Afflamb">#REF!</definedName>
    <definedName name="Afflambl">#REF!</definedName>
    <definedName name="Afflambv">#REF!</definedName>
    <definedName name="AffLv">#REF!</definedName>
    <definedName name="AffM">#REF!</definedName>
    <definedName name="Affmu">#REF!</definedName>
    <definedName name="Affmul">#REF!</definedName>
    <definedName name="Affmuv">#REF!</definedName>
    <definedName name="Affmv">#REF!</definedName>
    <definedName name="Affmvl">#REF!</definedName>
    <definedName name="Affmvv">#REF!</definedName>
    <definedName name="AffNom">#REF!</definedName>
    <definedName name="AffP">#REF!</definedName>
    <definedName name="AffPhase">#REF!</definedName>
    <definedName name="AffPrl">#REF!</definedName>
    <definedName name="AffProphy">#REF!</definedName>
    <definedName name="AffTc" localSheetId="2">#REF!</definedName>
    <definedName name="AffTc">#REF!</definedName>
    <definedName name="AffTsat">#REF!</definedName>
    <definedName name="b_a">#REF!</definedName>
    <definedName name="ba">#REF!</definedName>
    <definedName name="Bo">#REF!</definedName>
    <definedName name="BodyPattern">#REF!</definedName>
    <definedName name="Canal">#REF!</definedName>
    <definedName name="ChoixConnect">#REF!</definedName>
    <definedName name="Cleanliness">#REF!</definedName>
    <definedName name="Co">#REF!</definedName>
    <definedName name="Coeff1">#REF!</definedName>
    <definedName name="Coeff10">#REF!</definedName>
    <definedName name="Coeff11">#REF!</definedName>
    <definedName name="Coeff12">#REF!</definedName>
    <definedName name="Coeff13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eff7">#REF!</definedName>
    <definedName name="Coeff8">#REF!</definedName>
    <definedName name="Coeff9">#REF!</definedName>
    <definedName name="Coeffcar4">#REF!</definedName>
    <definedName name="Coeffcar5">#REF!</definedName>
    <definedName name="Coeffconv">#REF!</definedName>
    <definedName name="Coefftri">#REF!</definedName>
    <definedName name="Coefsup">#REF!</definedName>
    <definedName name="Coefsuphor">#REF!</definedName>
    <definedName name="Coefsupret">#REF!</definedName>
    <definedName name="Conduite">#REF!</definedName>
    <definedName name="const1">#REF!</definedName>
    <definedName name="const2">#REF!</definedName>
    <definedName name="const3">#REF!</definedName>
    <definedName name="ConstructionCode">#REF!</definedName>
    <definedName name="Corr_E">#REF!</definedName>
    <definedName name="Corr_S">#REF!</definedName>
    <definedName name="Corr1">#REF!</definedName>
    <definedName name="Corr2">#REF!</definedName>
    <definedName name="Corr3">#REF!</definedName>
    <definedName name="coude" localSheetId="41">'Pipe diameter'!$B$51:$B$56</definedName>
    <definedName name="coude">'[1]Pipe diameter'!$B$51:$B$56</definedName>
    <definedName name="cp" localSheetId="2">#REF!</definedName>
    <definedName name="cp">#REF!</definedName>
    <definedName name="Cp_1_fluide_1" localSheetId="2">#REF!</definedName>
    <definedName name="Cp_1_fluide_1">#REF!</definedName>
    <definedName name="Cp_1_fluide_2" localSheetId="2">#REF!</definedName>
    <definedName name="Cp_1_fluide_2">#REF!</definedName>
    <definedName name="Cp_2_fluide_1" localSheetId="2">#REF!</definedName>
    <definedName name="Cp_2_fluide_1">#REF!</definedName>
    <definedName name="Cp_2_fluide_2" localSheetId="2">#REF!</definedName>
    <definedName name="Cp_2_fluide_2">#REF!</definedName>
    <definedName name="cpe" localSheetId="2">#REF!</definedName>
    <definedName name="cpe">#REF!</definedName>
    <definedName name="cpl" localSheetId="2">#REF!</definedName>
    <definedName name="cpl">#REF!</definedName>
    <definedName name="cps" localSheetId="2">#REF!</definedName>
    <definedName name="cps">#REF!</definedName>
    <definedName name="cpv" localSheetId="2">#REF!</definedName>
    <definedName name="cpv">#REF!</definedName>
    <definedName name="crit1">#REF!</definedName>
    <definedName name="crit2">#REF!</definedName>
    <definedName name="crit3">#REF!</definedName>
    <definedName name="_xlnm.Criteria">#REF!</definedName>
    <definedName name="CurFileName" localSheetId="16">CRYO_AB_PSV!#REF!</definedName>
    <definedName name="CurFileName" localSheetId="8">'Heat Loads'!#REF!</definedName>
    <definedName name="CurFileName" localSheetId="15">'Heat Losses'!#REF!</definedName>
    <definedName name="CurFileName" localSheetId="14">model!#REF!</definedName>
    <definedName name="CurFileName" localSheetId="17">'model (2)'!#REF!</definedName>
    <definedName name="CurFileName">#REF!</definedName>
    <definedName name="D">#REF!</definedName>
    <definedName name="Data">"?"</definedName>
    <definedName name="_xlnm.Database">#REF!</definedName>
    <definedName name="DataName">"?"</definedName>
    <definedName name="db_leak_test" localSheetId="26">'[2]Data base'!#REF!</definedName>
    <definedName name="db_leak_test" localSheetId="41">'[3]Data base'!#REF!</definedName>
    <definedName name="db_leak_test" localSheetId="2">'[4]Data base'!#REF!</definedName>
    <definedName name="db_leak_test" localSheetId="25">'[3]Data base'!#REF!</definedName>
    <definedName name="db_leak_test">'[4]Data base'!#REF!</definedName>
    <definedName name="débit">#REF!</definedName>
    <definedName name="Débit_masse">#REF!</definedName>
    <definedName name="Débit_masse_fluide1">#REF!</definedName>
    <definedName name="Débit_masse_fluide2" localSheetId="2">#REF!</definedName>
    <definedName name="Débit_masse_fluide2">#REF!</definedName>
    <definedName name="degrees" localSheetId="26">#REF!</definedName>
    <definedName name="degrees" localSheetId="2">#REF!</definedName>
    <definedName name="degrees">#REF!</definedName>
    <definedName name="Delta_P_fluide1" localSheetId="2">#REF!</definedName>
    <definedName name="Delta_P_fluide1">#REF!</definedName>
    <definedName name="Delta_P_fluide2" localSheetId="2">#REF!</definedName>
    <definedName name="Delta_P_fluide2">#REF!</definedName>
    <definedName name="Dft">#REF!</definedName>
    <definedName name="Dh">#REF!</definedName>
    <definedName name="Di">#REF!</definedName>
    <definedName name="Dlaby" localSheetId="2">#REF!</definedName>
    <definedName name="Dlaby">#REF!</definedName>
    <definedName name="DN" localSheetId="41">'Pipe diameter'!$C$33:$C$46</definedName>
    <definedName name="DN" localSheetId="25">'[1]Pipe diameter'!$C$33:$C$46</definedName>
    <definedName name="DN">#REF!</definedName>
    <definedName name="DN_CODAP_Table">#REF!</definedName>
    <definedName name="DN_table">'Pipe diameter'!$C$33:$C$46</definedName>
    <definedName name="dp_hp">#REF!</definedName>
    <definedName name="dp_lp">#REF!</definedName>
    <definedName name="DR">#REF!</definedName>
    <definedName name="dsdfgsdf" localSheetId="2">#REF!</definedName>
    <definedName name="dsdfgsdf">#REF!</definedName>
    <definedName name="EffetD">#REF!</definedName>
    <definedName name="Effetflux">#REF!</definedName>
    <definedName name="EffetM">#REF!</definedName>
    <definedName name="EffetP">#REF!</definedName>
    <definedName name="EffetRug">#REF!</definedName>
    <definedName name="ElectricalCode">#REF!</definedName>
    <definedName name="EndConnection">#REF!</definedName>
    <definedName name="etat" localSheetId="26">#REF!</definedName>
    <definedName name="etat">#REF!</definedName>
    <definedName name="Fact">#REF!</definedName>
    <definedName name="factF">#REF!</definedName>
    <definedName name="FactF0">#REF!</definedName>
    <definedName name="FactF1">#REF!</definedName>
    <definedName name="factFLW">#REF!</definedName>
    <definedName name="factFLWhor">#REF!</definedName>
    <definedName name="factFLWret">#REF!</definedName>
    <definedName name="factFnb">#REF!</definedName>
    <definedName name="factFST">#REF!</definedName>
    <definedName name="FailureType">#REF!</definedName>
    <definedName name="fFil">#REF!</definedName>
    <definedName name="fFilvap">#REF!</definedName>
    <definedName name="Fluide">#REF!</definedName>
    <definedName name="fluides" localSheetId="26">[5]Fluids!$A$4:$A$87</definedName>
    <definedName name="fluides">[6]Fluids!$A$4:$A$87</definedName>
    <definedName name="Frl">#REF!</definedName>
    <definedName name="gas">[1]Fluides!$K$2:$K$4</definedName>
    <definedName name="GP_fluides" localSheetId="26">[7]Fluides!$C$2:$C$38</definedName>
    <definedName name="GP_fluides">Fluides!$C$2:$C$38</definedName>
    <definedName name="gravité">#REF!</definedName>
    <definedName name="h">#REF!</definedName>
    <definedName name="hconv">#REF!</definedName>
    <definedName name="hdit">#REF!</definedName>
    <definedName name="hebul">#REF!</definedName>
    <definedName name="Hevm">#REF!</definedName>
    <definedName name="hgaz">#REF!</definedName>
    <definedName name="hhau">#REF!</definedName>
    <definedName name="hl0">#REF!</definedName>
    <definedName name="hliq">#REF!</definedName>
    <definedName name="hLW">#REF!</definedName>
    <definedName name="hmac">#REF!</definedName>
    <definedName name="hmax">#REF!</definedName>
    <definedName name="hmin">#REF!</definedName>
    <definedName name="hmoy">#REF!</definedName>
    <definedName name="hnuCoo">#REF!</definedName>
    <definedName name="hpet">#REF!</definedName>
    <definedName name="href">#REF!</definedName>
    <definedName name="hsch">#REF!</definedName>
    <definedName name="hSchah">#REF!</definedName>
    <definedName name="hsie">#REF!</definedName>
    <definedName name="hST">#REF!</definedName>
    <definedName name="httc">#REF!</definedName>
    <definedName name="httl">#REF!</definedName>
    <definedName name="Hvap" localSheetId="2">#REF!</definedName>
    <definedName name="Hvap">#REF!</definedName>
    <definedName name="Inf">#REF!</definedName>
    <definedName name="info" localSheetId="2">#REF!</definedName>
    <definedName name="info">#REF!</definedName>
    <definedName name="Input1" localSheetId="41">#REF!</definedName>
    <definedName name="Input1" localSheetId="25">#REF!</definedName>
    <definedName name="Input1">'Property HePak'!$C$7</definedName>
    <definedName name="Input2" localSheetId="41">#REF!</definedName>
    <definedName name="Input2" localSheetId="25">#REF!</definedName>
    <definedName name="Input2">'Property HePak'!$D$7</definedName>
    <definedName name="Jrl" localSheetId="2">#REF!</definedName>
    <definedName name="Jrl">#REF!</definedName>
    <definedName name="lamb" localSheetId="2">#REF!</definedName>
    <definedName name="lamb">#REF!</definedName>
    <definedName name="lambe" localSheetId="2">#REF!</definedName>
    <definedName name="lambe">#REF!</definedName>
    <definedName name="lambl" localSheetId="2">#REF!</definedName>
    <definedName name="lambl">#REF!</definedName>
    <definedName name="lambs" localSheetId="2">#REF!</definedName>
    <definedName name="lambs">#REF!</definedName>
    <definedName name="lambv" localSheetId="2">#REF!</definedName>
    <definedName name="lambv">#REF!</definedName>
    <definedName name="Local_path" localSheetId="2">#REF!</definedName>
    <definedName name="Local_path">#REF!</definedName>
    <definedName name="long">#REF!</definedName>
    <definedName name="Lv" localSheetId="2">#REF!</definedName>
    <definedName name="Lv">#REF!</definedName>
    <definedName name="M" localSheetId="2">#REF!</definedName>
    <definedName name="M">#REF!</definedName>
    <definedName name="MaterialCertificat">#REF!</definedName>
    <definedName name="modifiable" localSheetId="26">#REF!,#REF!,#REF!,#REF!,#REF!,#REF!,#REF!,#REF!,#REF!,#REF!,#REF!,#REF!,#REF!,#REF!,#REF!,#REF!,#REF!,#REF!,#REF!,#REF!,#REF!,#REF!,#REF!,#REF!</definedName>
    <definedName name="modifiable" localSheetId="2">#REF!,#REF!,#REF!,#REF!,#REF!,#REF!,#REF!,#REF!,#REF!,#REF!,#REF!,#REF!,#REF!,#REF!,#REF!,#REF!,#REF!,#REF!,#REF!,#REF!,#REF!,#REF!,#REF!,#REF!</definedName>
    <definedName name="modifiable">#REF!,#REF!,#REF!,#REF!,#REF!,#REF!,#REF!,#REF!,#REF!,#REF!,#REF!,#REF!,#REF!,#REF!,#REF!,#REF!,#REF!,#REF!,#REF!,#REF!,#REF!,#REF!,#REF!,#REF!</definedName>
    <definedName name="Motifs">#REF!</definedName>
    <definedName name="mu" localSheetId="2">#REF!</definedName>
    <definedName name="mu">#REF!</definedName>
    <definedName name="mue" localSheetId="2">#REF!</definedName>
    <definedName name="mue">#REF!</definedName>
    <definedName name="mul" localSheetId="2">#REF!</definedName>
    <definedName name="mul">#REF!</definedName>
    <definedName name="mus" localSheetId="2">#REF!</definedName>
    <definedName name="mus">#REF!</definedName>
    <definedName name="muv" localSheetId="2">#REF!</definedName>
    <definedName name="muv">#REF!</definedName>
    <definedName name="mv" localSheetId="2">#REF!</definedName>
    <definedName name="mv">#REF!</definedName>
    <definedName name="mve" localSheetId="2">#REF!</definedName>
    <definedName name="mve">#REF!</definedName>
    <definedName name="mvl" localSheetId="2">#REF!</definedName>
    <definedName name="mvl">#REF!</definedName>
    <definedName name="mvs" localSheetId="2">#REF!</definedName>
    <definedName name="mvs">#REF!</definedName>
    <definedName name="mvv" localSheetId="2">#REF!</definedName>
    <definedName name="mvv">#REF!</definedName>
    <definedName name="nbcor">#REF!</definedName>
    <definedName name="Nconf">#REF!</definedName>
    <definedName name="Network_path" localSheetId="2">#REF!</definedName>
    <definedName name="Network_path">#REF!</definedName>
    <definedName name="Nflux">#REF!</definedName>
    <definedName name="Nfluxcryo">#REF!</definedName>
    <definedName name="NfluxEAU">#REF!</definedName>
    <definedName name="Nhor">#REF!</definedName>
    <definedName name="Nom" localSheetId="2">#REF!</definedName>
    <definedName name="Nom">#REF!</definedName>
    <definedName name="Nu">#REF!</definedName>
    <definedName name="Nuannu">#REF!</definedName>
    <definedName name="Nucar4">#REF!</definedName>
    <definedName name="Nucar5">#REF!</definedName>
    <definedName name="Nudit">#REF!</definedName>
    <definedName name="Nufaisc">#REF!</definedName>
    <definedName name="NuGN">#REF!</definedName>
    <definedName name="NuGNvap">#REF!</definedName>
    <definedName name="Nuhau">#REF!</definedName>
    <definedName name="Nuint">#REF!</definedName>
    <definedName name="Nulam">#REF!</definedName>
    <definedName name="Numac">#REF!</definedName>
    <definedName name="Numax">#REF!</definedName>
    <definedName name="Numin">#REF!</definedName>
    <definedName name="Numoy">#REF!</definedName>
    <definedName name="NuNutube">#REF!</definedName>
    <definedName name="Nupet">#REF!</definedName>
    <definedName name="Nurect">#REF!</definedName>
    <definedName name="Nusch">#REF!</definedName>
    <definedName name="Nusie">#REF!</definedName>
    <definedName name="Nuttc">#REF!</definedName>
    <definedName name="Nuttl">#REF!</definedName>
    <definedName name="Nvert">#REF!</definedName>
    <definedName name="P" localSheetId="2">#REF!</definedName>
    <definedName name="P">#REF!</definedName>
    <definedName name="P_fluide1_1" localSheetId="2">#REF!</definedName>
    <definedName name="P_fluide1_1">#REF!</definedName>
    <definedName name="P_fluide1_2" localSheetId="2">#REF!</definedName>
    <definedName name="P_fluide1_2">#REF!</definedName>
    <definedName name="P_fluide2_1" localSheetId="2">#REF!</definedName>
    <definedName name="P_fluide2_1">#REF!</definedName>
    <definedName name="P_fluide2_2" localSheetId="2">#REF!</definedName>
    <definedName name="P_fluide2_2">#REF!</definedName>
    <definedName name="P0" localSheetId="2">'[8]Données et calculs'!#REF!</definedName>
    <definedName name="P0">'[8]Données et calculs'!#REF!</definedName>
    <definedName name="pad">#REF!</definedName>
    <definedName name="pas">#REF!</definedName>
    <definedName name="Pc">#REF!</definedName>
    <definedName name="Pcar4">#REF!</definedName>
    <definedName name="Pcar5">#REF!</definedName>
    <definedName name="Pdilu">#REF!</definedName>
    <definedName name="Pech" localSheetId="2">#REF!</definedName>
    <definedName name="Pech">#REF!</definedName>
    <definedName name="Per" localSheetId="2">#REF!</definedName>
    <definedName name="Per">#REF!</definedName>
    <definedName name="Phase" localSheetId="2">#REF!</definedName>
    <definedName name="Phase">#REF!</definedName>
    <definedName name="PlugCharacteristic">#REF!</definedName>
    <definedName name="PlugType">#REF!</definedName>
    <definedName name="PositionerType">#REF!</definedName>
    <definedName name="Pr">#REF!</definedName>
    <definedName name="Pred">#REF!</definedName>
    <definedName name="_xlnm.Print_Area" localSheetId="16">CRYO_AB_PSV!$A$1:$Y$143</definedName>
    <definedName name="_xlnm.Print_Area" localSheetId="26">DP_line!$A$1:$L$33</definedName>
    <definedName name="_xlnm.Print_Area" localSheetId="31">'DP-HX'!$A$1:$Q$71</definedName>
    <definedName name="_xlnm.Print_Area" localSheetId="8">'Heat Loads'!$A$1:$Y$88</definedName>
    <definedName name="_xlnm.Print_Area" localSheetId="15">'Heat Losses'!$A$1:$AB$96</definedName>
    <definedName name="_xlnm.Print_Area" localSheetId="14">model!$A$1:$AB$136</definedName>
    <definedName name="_xlnm.Print_Area" localSheetId="17">'model (2)'!$A$1:$AB$127</definedName>
    <definedName name="_xlnm.Print_Area" localSheetId="39">'Property HePak'!$A$1:$G$61</definedName>
    <definedName name="_xlnm.Print_Area" localSheetId="9">Sheet1!$A$1:$N$33</definedName>
    <definedName name="_xlnm.Print_Area" localSheetId="22">Table!$A$1:$F$72</definedName>
    <definedName name="_xlnm.Print_Area" localSheetId="25">'Warm Lines'!$A$1:$Y$65</definedName>
    <definedName name="_xlnm.Print_Titles" localSheetId="39">'Property HePak'!$1:$16</definedName>
    <definedName name="Prl" localSheetId="2">#REF!</definedName>
    <definedName name="Prl">#REF!</definedName>
    <definedName name="Prophy" localSheetId="2">#REF!</definedName>
    <definedName name="Prophy">#REF!</definedName>
    <definedName name="Prv">#REF!</definedName>
    <definedName name="Psat" localSheetId="2">#REF!</definedName>
    <definedName name="Psat">#REF!</definedName>
    <definedName name="PSIconf">#REF!</definedName>
    <definedName name="PSIcv">#REF!</definedName>
    <definedName name="PSImix">#REF!</definedName>
    <definedName name="PSInu">#REF!</definedName>
    <definedName name="Psortie" localSheetId="2">'[8]Unités SI'!#REF!</definedName>
    <definedName name="Psortie">'[8]Unités SI'!#REF!</definedName>
    <definedName name="Ptri">#REF!</definedName>
    <definedName name="Puissance" localSheetId="2">#REF!</definedName>
    <definedName name="Puissance">#REF!</definedName>
    <definedName name="Puissance1" localSheetId="2">#REF!</definedName>
    <definedName name="Puissance1">#REF!</definedName>
    <definedName name="Puissance2" localSheetId="2">#REF!</definedName>
    <definedName name="Puissance2">#REF!</definedName>
    <definedName name="Q">#REF!</definedName>
    <definedName name="Qref">#REF!</definedName>
    <definedName name="Qt">#REF!</definedName>
    <definedName name="Rapport">#REF!</definedName>
    <definedName name="Re">#REF!</definedName>
    <definedName name="Reg0">#REF!</definedName>
    <definedName name="Régime">#REF!</definedName>
    <definedName name="Regulation">#REF!</definedName>
    <definedName name="Rel">#REF!</definedName>
    <definedName name="Rel0">#REF!</definedName>
    <definedName name="Rendement_S_compresseur">#REF!</definedName>
    <definedName name="result">#REF!</definedName>
    <definedName name="Rev" localSheetId="2">#REF!</definedName>
    <definedName name="Rev">#REF!</definedName>
    <definedName name="Rug">#REF!</definedName>
    <definedName name="solver_adj" localSheetId="16" hidden="1">CRYO_AB_PSV!#REF!</definedName>
    <definedName name="solver_adj" localSheetId="8" hidden="1">'Heat Loads'!#REF!</definedName>
    <definedName name="solver_adj" localSheetId="15" hidden="1">'Heat Losses'!#REF!</definedName>
    <definedName name="solver_adj" localSheetId="18" hidden="1">HX_eau!$I$11</definedName>
    <definedName name="solver_adj" localSheetId="14" hidden="1">model!#REF!</definedName>
    <definedName name="solver_adj" localSheetId="17" hidden="1">'model (2)'!$K$106</definedName>
    <definedName name="solver_cvg" localSheetId="16" hidden="1">0.0001</definedName>
    <definedName name="solver_cvg" localSheetId="8" hidden="1">0.0001</definedName>
    <definedName name="solver_cvg" localSheetId="15" hidden="1">0.0001</definedName>
    <definedName name="solver_cvg" localSheetId="18" hidden="1">0.0001</definedName>
    <definedName name="solver_cvg" localSheetId="14" hidden="1">0.0001</definedName>
    <definedName name="solver_cvg" localSheetId="17" hidden="1">0.0001</definedName>
    <definedName name="solver_drv" localSheetId="16" hidden="1">1</definedName>
    <definedName name="solver_drv" localSheetId="8" hidden="1">1</definedName>
    <definedName name="solver_drv" localSheetId="15" hidden="1">1</definedName>
    <definedName name="solver_drv" localSheetId="18" hidden="1">1</definedName>
    <definedName name="solver_drv" localSheetId="14" hidden="1">1</definedName>
    <definedName name="solver_drv" localSheetId="17" hidden="1">1</definedName>
    <definedName name="solver_est" localSheetId="16" hidden="1">1</definedName>
    <definedName name="solver_est" localSheetId="8" hidden="1">1</definedName>
    <definedName name="solver_est" localSheetId="15" hidden="1">1</definedName>
    <definedName name="solver_est" localSheetId="18" hidden="1">1</definedName>
    <definedName name="solver_est" localSheetId="14" hidden="1">1</definedName>
    <definedName name="solver_est" localSheetId="17" hidden="1">1</definedName>
    <definedName name="solver_itr" localSheetId="16" hidden="1">100</definedName>
    <definedName name="solver_itr" localSheetId="8" hidden="1">100</definedName>
    <definedName name="solver_itr" localSheetId="15" hidden="1">100</definedName>
    <definedName name="solver_itr" localSheetId="18" hidden="1">100</definedName>
    <definedName name="solver_itr" localSheetId="14" hidden="1">100</definedName>
    <definedName name="solver_itr" localSheetId="17" hidden="1">100</definedName>
    <definedName name="solver_lhs1" localSheetId="17" hidden="1">'model (2)'!$AE$119</definedName>
    <definedName name="solver_lhs2" localSheetId="17" hidden="1">'model (2)'!$K$106</definedName>
    <definedName name="solver_lin" localSheetId="16" hidden="1">2</definedName>
    <definedName name="solver_lin" localSheetId="8" hidden="1">2</definedName>
    <definedName name="solver_lin" localSheetId="15" hidden="1">2</definedName>
    <definedName name="solver_lin" localSheetId="18" hidden="1">2</definedName>
    <definedName name="solver_lin" localSheetId="14" hidden="1">2</definedName>
    <definedName name="solver_lin" localSheetId="17" hidden="1">2</definedName>
    <definedName name="solver_neg" localSheetId="16" hidden="1">2</definedName>
    <definedName name="solver_neg" localSheetId="8" hidden="1">2</definedName>
    <definedName name="solver_neg" localSheetId="15" hidden="1">2</definedName>
    <definedName name="solver_neg" localSheetId="18" hidden="1">2</definedName>
    <definedName name="solver_neg" localSheetId="14" hidden="1">2</definedName>
    <definedName name="solver_neg" localSheetId="17" hidden="1">2</definedName>
    <definedName name="solver_num" localSheetId="16" hidden="1">0</definedName>
    <definedName name="solver_num" localSheetId="8" hidden="1">0</definedName>
    <definedName name="solver_num" localSheetId="15" hidden="1">0</definedName>
    <definedName name="solver_num" localSheetId="18" hidden="1">0</definedName>
    <definedName name="solver_num" localSheetId="14" hidden="1">0</definedName>
    <definedName name="solver_num" localSheetId="17" hidden="1">2</definedName>
    <definedName name="solver_nwt" localSheetId="16" hidden="1">1</definedName>
    <definedName name="solver_nwt" localSheetId="8" hidden="1">1</definedName>
    <definedName name="solver_nwt" localSheetId="15" hidden="1">1</definedName>
    <definedName name="solver_nwt" localSheetId="18" hidden="1">1</definedName>
    <definedName name="solver_nwt" localSheetId="14" hidden="1">1</definedName>
    <definedName name="solver_nwt" localSheetId="17" hidden="1">1</definedName>
    <definedName name="solver_opt" localSheetId="16" hidden="1">CRYO_AB_PSV!#REF!</definedName>
    <definedName name="solver_opt" localSheetId="8" hidden="1">'Heat Loads'!#REF!</definedName>
    <definedName name="solver_opt" localSheetId="15" hidden="1">'Heat Losses'!#REF!</definedName>
    <definedName name="solver_opt" localSheetId="18" hidden="1">HX_eau!$G$8</definedName>
    <definedName name="solver_opt" localSheetId="14" hidden="1">model!#REF!</definedName>
    <definedName name="solver_opt" localSheetId="17" hidden="1">'model (2)'!$AE$110</definedName>
    <definedName name="solver_pre" localSheetId="16" hidden="1">0.000001</definedName>
    <definedName name="solver_pre" localSheetId="8" hidden="1">0.000001</definedName>
    <definedName name="solver_pre" localSheetId="15" hidden="1">0.000001</definedName>
    <definedName name="solver_pre" localSheetId="18" hidden="1">0.000001</definedName>
    <definedName name="solver_pre" localSheetId="14" hidden="1">0.000001</definedName>
    <definedName name="solver_pre" localSheetId="17" hidden="1">0.000001</definedName>
    <definedName name="solver_rel1" localSheetId="17" hidden="1">2</definedName>
    <definedName name="solver_rel2" localSheetId="17" hidden="1">3</definedName>
    <definedName name="solver_rhs1" localSheetId="17" hidden="1">0</definedName>
    <definedName name="solver_rhs2" localSheetId="17" hidden="1">'model (2)'!$S$106</definedName>
    <definedName name="solver_scl" localSheetId="16" hidden="1">2</definedName>
    <definedName name="solver_scl" localSheetId="8" hidden="1">2</definedName>
    <definedName name="solver_scl" localSheetId="15" hidden="1">2</definedName>
    <definedName name="solver_scl" localSheetId="18" hidden="1">2</definedName>
    <definedName name="solver_scl" localSheetId="14" hidden="1">2</definedName>
    <definedName name="solver_scl" localSheetId="17" hidden="1">2</definedName>
    <definedName name="solver_sho" localSheetId="16" hidden="1">2</definedName>
    <definedName name="solver_sho" localSheetId="8" hidden="1">2</definedName>
    <definedName name="solver_sho" localSheetId="15" hidden="1">2</definedName>
    <definedName name="solver_sho" localSheetId="18" hidden="1">2</definedName>
    <definedName name="solver_sho" localSheetId="14" hidden="1">2</definedName>
    <definedName name="solver_sho" localSheetId="17" hidden="1">2</definedName>
    <definedName name="solver_tim" localSheetId="16" hidden="1">100</definedName>
    <definedName name="solver_tim" localSheetId="8" hidden="1">100</definedName>
    <definedName name="solver_tim" localSheetId="15" hidden="1">100</definedName>
    <definedName name="solver_tim" localSheetId="18" hidden="1">100</definedName>
    <definedName name="solver_tim" localSheetId="14" hidden="1">100</definedName>
    <definedName name="solver_tim" localSheetId="17" hidden="1">100</definedName>
    <definedName name="solver_tol" localSheetId="16" hidden="1">0.05</definedName>
    <definedName name="solver_tol" localSheetId="8" hidden="1">0.05</definedName>
    <definedName name="solver_tol" localSheetId="15" hidden="1">0.05</definedName>
    <definedName name="solver_tol" localSheetId="18" hidden="1">0.05</definedName>
    <definedName name="solver_tol" localSheetId="14" hidden="1">0.05</definedName>
    <definedName name="solver_tol" localSheetId="17" hidden="1">0.05</definedName>
    <definedName name="solver_typ" localSheetId="16" hidden="1">3</definedName>
    <definedName name="solver_typ" localSheetId="8" hidden="1">3</definedName>
    <definedName name="solver_typ" localSheetId="15" hidden="1">3</definedName>
    <definedName name="solver_typ" localSheetId="18" hidden="1">3</definedName>
    <definedName name="solver_typ" localSheetId="14" hidden="1">3</definedName>
    <definedName name="solver_typ" localSheetId="17" hidden="1">3</definedName>
    <definedName name="solver_val" localSheetId="16" hidden="1">0</definedName>
    <definedName name="solver_val" localSheetId="8" hidden="1">0</definedName>
    <definedName name="solver_val" localSheetId="15" hidden="1">0</definedName>
    <definedName name="solver_val" localSheetId="18" hidden="1">5500</definedName>
    <definedName name="solver_val" localSheetId="14" hidden="1">0</definedName>
    <definedName name="solver_val" localSheetId="17" hidden="1">0</definedName>
    <definedName name="Spass">#REF!</definedName>
    <definedName name="Spass1">#REF!</definedName>
    <definedName name="Spass2">#REF!</definedName>
    <definedName name="Sup">#REF!</definedName>
    <definedName name="T_basse">#REF!</definedName>
    <definedName name="T_fluide1_1" localSheetId="2">#REF!</definedName>
    <definedName name="T_fluide1_1">#REF!</definedName>
    <definedName name="T_fluide1_2" localSheetId="2">#REF!</definedName>
    <definedName name="T_fluide1_2">#REF!</definedName>
    <definedName name="T_fluide2_1" localSheetId="2">#REF!</definedName>
    <definedName name="T_fluide2_1">#REF!</definedName>
    <definedName name="T_fluide2_2" localSheetId="2">#REF!</definedName>
    <definedName name="T_fluide2_2">#REF!</definedName>
    <definedName name="T_haute">#REF!</definedName>
    <definedName name="Table1" localSheetId="41">#REF!</definedName>
    <definedName name="Table1" localSheetId="25">#REF!</definedName>
    <definedName name="Table1">'Teneur H2O'!$C$64:$E$168</definedName>
    <definedName name="Table2" localSheetId="41">#REF!</definedName>
    <definedName name="Table2" localSheetId="25">#REF!</definedName>
    <definedName name="Table2">'Teneur H2O'!$D$64:$F$168</definedName>
    <definedName name="Tabnu">#REF!</definedName>
    <definedName name="Tc">#REF!</definedName>
    <definedName name="Tent">#REF!</definedName>
    <definedName name="Testhor">#REF!</definedName>
    <definedName name="Titre">#REF!</definedName>
    <definedName name="Tmax" localSheetId="2">#REF!</definedName>
    <definedName name="Tmax">#REF!</definedName>
    <definedName name="Tmin" localSheetId="2">#REF!</definedName>
    <definedName name="Tmin">#REF!</definedName>
    <definedName name="Ts" localSheetId="2">#REF!</definedName>
    <definedName name="Ts">#REF!</definedName>
    <definedName name="Tsat" localSheetId="2">#REF!</definedName>
    <definedName name="Tsat">#REF!</definedName>
    <definedName name="Tsor">#REF!</definedName>
    <definedName name="Um">#REF!</definedName>
    <definedName name="Umoy">#REF!</definedName>
    <definedName name="Unite_Debit">#REF!</definedName>
    <definedName name="Unite1">#REF!</definedName>
    <definedName name="Units" localSheetId="41">#REF!</definedName>
    <definedName name="Units" localSheetId="25">#REF!</definedName>
    <definedName name="Units">'Property HePak'!$F$9</definedName>
    <definedName name="Ut">#REF!</definedName>
    <definedName name="V">#REF!</definedName>
    <definedName name="Vali1">#REF!</definedName>
    <definedName name="Vali2">#REF!</definedName>
    <definedName name="Vali3">#REF!</definedName>
    <definedName name="Vali4">#REF!</definedName>
    <definedName name="Vali5">#REF!</definedName>
    <definedName name="Vali6">#REF!</definedName>
    <definedName name="Vali7">#REF!</definedName>
    <definedName name="Vali8">#REF!</definedName>
    <definedName name="Valid" localSheetId="2">#REF!</definedName>
    <definedName name="Valid">#REF!</definedName>
    <definedName name="Value1" localSheetId="41">#REF!</definedName>
    <definedName name="Value1" localSheetId="25">#REF!</definedName>
    <definedName name="Value1">'Property HePak'!$C$9</definedName>
    <definedName name="Value2" localSheetId="41">#REF!</definedName>
    <definedName name="Value2" localSheetId="25">#REF!</definedName>
    <definedName name="Value2">'Property HePak'!$D$9</definedName>
    <definedName name="ValveFunction">#REF!</definedName>
    <definedName name="ValveType">#REF!</definedName>
    <definedName name="Vser" localSheetId="2">#REF!</definedName>
    <definedName name="Vser">#REF!</definedName>
    <definedName name="Xtt">#REF!</definedName>
    <definedName name="Xtt85" localSheetId="2">#REF!</definedName>
    <definedName name="Xtt85">#REF!</definedName>
    <definedName name="YESNO">#REF!</definedName>
    <definedName name="Zl" localSheetId="2">#REF!</definedName>
    <definedName name="Zl">#REF!</definedName>
    <definedName name="ZonB">#REF!</definedName>
    <definedName name="Zonhor">#REF!,#REF!,#REF!</definedName>
    <definedName name="ZonN">#REF!,#REF!,#REF!,#REF!,#REF!</definedName>
    <definedName name="ZonR">#REF!,#REF!</definedName>
    <definedName name="ZonV">#REF!</definedName>
  </definedNames>
  <calcPr calcId="125725"/>
</workbook>
</file>

<file path=xl/calcChain.xml><?xml version="1.0" encoding="utf-8"?>
<calcChain xmlns="http://schemas.openxmlformats.org/spreadsheetml/2006/main">
  <c r="Z37" i="80"/>
  <c r="Z36"/>
  <c r="Z35"/>
  <c r="Z34"/>
  <c r="Z33"/>
  <c r="Z32"/>
  <c r="Z31"/>
  <c r="Z30"/>
  <c r="Z29"/>
  <c r="Z27"/>
  <c r="Z26"/>
  <c r="Z25"/>
  <c r="Z24"/>
  <c r="Z23"/>
  <c r="Z22"/>
  <c r="Z21"/>
  <c r="Z20"/>
  <c r="Z19"/>
  <c r="Z18"/>
  <c r="Z16"/>
  <c r="Z15"/>
  <c r="Z14"/>
  <c r="Z13"/>
  <c r="Z12"/>
  <c r="Z11"/>
  <c r="Z10"/>
  <c r="Z9"/>
  <c r="Z8"/>
  <c r="W26"/>
  <c r="W23"/>
  <c r="W22"/>
  <c r="W37"/>
  <c r="W36"/>
  <c r="V37"/>
  <c r="V36"/>
  <c r="V35"/>
  <c r="W35" s="1"/>
  <c r="V34"/>
  <c r="W34" s="1"/>
  <c r="V33"/>
  <c r="V31"/>
  <c r="V30"/>
  <c r="W30" s="1"/>
  <c r="V29"/>
  <c r="V27"/>
  <c r="W27" s="1"/>
  <c r="V26"/>
  <c r="V25"/>
  <c r="W25" s="1"/>
  <c r="V24"/>
  <c r="W24" s="1"/>
  <c r="V23"/>
  <c r="V22"/>
  <c r="V19"/>
  <c r="W19" s="1"/>
  <c r="V18"/>
  <c r="W18" s="1"/>
  <c r="V20"/>
  <c r="W20" s="1"/>
  <c r="V10"/>
  <c r="P35"/>
  <c r="P34"/>
  <c r="W32"/>
  <c r="W31" s="1"/>
  <c r="P30"/>
  <c r="P29"/>
  <c r="P25"/>
  <c r="W21"/>
  <c r="P19"/>
  <c r="P18"/>
  <c r="P8"/>
  <c r="P12"/>
  <c r="P13"/>
  <c r="P16"/>
  <c r="P9"/>
  <c r="W11"/>
  <c r="V16"/>
  <c r="V15"/>
  <c r="V14"/>
  <c r="V13"/>
  <c r="V12"/>
  <c r="V8"/>
  <c r="V9"/>
  <c r="J37"/>
  <c r="P37" s="1"/>
  <c r="E37"/>
  <c r="C37"/>
  <c r="J36"/>
  <c r="P36" s="1"/>
  <c r="E36"/>
  <c r="C36"/>
  <c r="J35"/>
  <c r="E35"/>
  <c r="C35"/>
  <c r="J34"/>
  <c r="E34"/>
  <c r="C34"/>
  <c r="J33"/>
  <c r="P33" s="1"/>
  <c r="E33"/>
  <c r="C33"/>
  <c r="J32"/>
  <c r="P32" s="1"/>
  <c r="E32"/>
  <c r="C32"/>
  <c r="J31"/>
  <c r="P31" s="1"/>
  <c r="E31"/>
  <c r="C31"/>
  <c r="J30"/>
  <c r="E30"/>
  <c r="C30"/>
  <c r="J29"/>
  <c r="E29"/>
  <c r="C29"/>
  <c r="J27"/>
  <c r="P27" s="1"/>
  <c r="E27"/>
  <c r="C27"/>
  <c r="J26"/>
  <c r="P26" s="1"/>
  <c r="E26"/>
  <c r="C26"/>
  <c r="J25"/>
  <c r="E25"/>
  <c r="C25"/>
  <c r="J24"/>
  <c r="P24" s="1"/>
  <c r="E24"/>
  <c r="C24"/>
  <c r="J23"/>
  <c r="P23" s="1"/>
  <c r="E23"/>
  <c r="C23"/>
  <c r="J22"/>
  <c r="P22" s="1"/>
  <c r="E22"/>
  <c r="C22"/>
  <c r="J21"/>
  <c r="P21" s="1"/>
  <c r="E21"/>
  <c r="C21"/>
  <c r="J20"/>
  <c r="P20" s="1"/>
  <c r="E20"/>
  <c r="C20"/>
  <c r="J19"/>
  <c r="E19"/>
  <c r="C19"/>
  <c r="J18"/>
  <c r="E18"/>
  <c r="C18"/>
  <c r="J16"/>
  <c r="E16"/>
  <c r="C16"/>
  <c r="J15"/>
  <c r="P15" s="1"/>
  <c r="E15"/>
  <c r="C15"/>
  <c r="J14"/>
  <c r="P14" s="1"/>
  <c r="E14"/>
  <c r="C14"/>
  <c r="J13"/>
  <c r="E13"/>
  <c r="C13"/>
  <c r="J12"/>
  <c r="E12"/>
  <c r="C12"/>
  <c r="J11"/>
  <c r="P11" s="1"/>
  <c r="E11"/>
  <c r="C11"/>
  <c r="J10"/>
  <c r="P10" s="1"/>
  <c r="E10"/>
  <c r="C10"/>
  <c r="J9"/>
  <c r="E9"/>
  <c r="C9"/>
  <c r="J8"/>
  <c r="E8"/>
  <c r="C8"/>
  <c r="L60" i="78"/>
  <c r="C59"/>
  <c r="F78"/>
  <c r="L83"/>
  <c r="L85"/>
  <c r="L81"/>
  <c r="N70"/>
  <c r="N69"/>
  <c r="H60"/>
  <c r="H59"/>
  <c r="H28"/>
  <c r="H29"/>
  <c r="G28"/>
  <c r="G29" s="1"/>
  <c r="F28"/>
  <c r="H27"/>
  <c r="G27"/>
  <c r="F27"/>
  <c r="K16"/>
  <c r="J16"/>
  <c r="I16"/>
  <c r="H16"/>
  <c r="G16"/>
  <c r="L85" i="77"/>
  <c r="L81"/>
  <c r="L83" s="1"/>
  <c r="H59"/>
  <c r="H60" s="1"/>
  <c r="C8" i="36"/>
  <c r="C9" s="1"/>
  <c r="C7"/>
  <c r="N69" i="77"/>
  <c r="N70"/>
  <c r="H27"/>
  <c r="G27"/>
  <c r="F27"/>
  <c r="H28"/>
  <c r="H29" s="1"/>
  <c r="G28"/>
  <c r="G29" s="1"/>
  <c r="F28"/>
  <c r="F29" s="1"/>
  <c r="C7" i="74"/>
  <c r="K16" i="77"/>
  <c r="J16"/>
  <c r="I16"/>
  <c r="H16"/>
  <c r="G16"/>
  <c r="F53" i="73"/>
  <c r="F54" s="1"/>
  <c r="F55" s="1"/>
  <c r="F56" s="1"/>
  <c r="F57" s="1"/>
  <c r="F58" s="1"/>
  <c r="F59" s="1"/>
  <c r="F60"/>
  <c r="F61" s="1"/>
  <c r="F62" s="1"/>
  <c r="F63" s="1"/>
  <c r="F64" s="1"/>
  <c r="F65" s="1"/>
  <c r="F66" s="1"/>
  <c r="F67" s="1"/>
  <c r="F68" s="1"/>
  <c r="H51"/>
  <c r="I51"/>
  <c r="J51" s="1"/>
  <c r="K51" s="1"/>
  <c r="L51" s="1"/>
  <c r="M51" s="1"/>
  <c r="N51" s="1"/>
  <c r="O51" s="1"/>
  <c r="P51" s="1"/>
  <c r="Q51" s="1"/>
  <c r="R51" s="1"/>
  <c r="S51" s="1"/>
  <c r="T51" s="1"/>
  <c r="U51" s="1"/>
  <c r="V51" s="1"/>
  <c r="W51" s="1"/>
  <c r="AD3"/>
  <c r="AE3" s="1"/>
  <c r="AF3" s="1"/>
  <c r="AG3" s="1"/>
  <c r="Z5"/>
  <c r="Z6" s="1"/>
  <c r="Z7" s="1"/>
  <c r="Z8"/>
  <c r="Z9" s="1"/>
  <c r="Z10" s="1"/>
  <c r="Z11" s="1"/>
  <c r="Z12" s="1"/>
  <c r="Z13" s="1"/>
  <c r="Z14" s="1"/>
  <c r="Z15" s="1"/>
  <c r="Z16" s="1"/>
  <c r="Z17" s="1"/>
  <c r="Z18" s="1"/>
  <c r="Z19" s="1"/>
  <c r="Z20" s="1"/>
  <c r="N5"/>
  <c r="N6" s="1"/>
  <c r="N7" s="1"/>
  <c r="N8"/>
  <c r="N9" s="1"/>
  <c r="N10" s="1"/>
  <c r="N11" s="1"/>
  <c r="N12" s="1"/>
  <c r="N13" s="1"/>
  <c r="N14" s="1"/>
  <c r="N15" s="1"/>
  <c r="N16" s="1"/>
  <c r="N17" s="1"/>
  <c r="N18" s="1"/>
  <c r="N19" s="1"/>
  <c r="N20" s="1"/>
  <c r="F5"/>
  <c r="F6" s="1"/>
  <c r="F7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E50" i="75"/>
  <c r="O44"/>
  <c r="F8"/>
  <c r="E7" i="74"/>
  <c r="E10"/>
  <c r="H13" s="1"/>
  <c r="G13"/>
  <c r="E8"/>
  <c r="C8"/>
  <c r="C9" s="1"/>
  <c r="M8"/>
  <c r="N8" s="1"/>
  <c r="O8" s="1"/>
  <c r="P9"/>
  <c r="M9" s="1"/>
  <c r="N9" s="1"/>
  <c r="O9" s="1"/>
  <c r="O10" s="1"/>
  <c r="M15"/>
  <c r="N15" s="1"/>
  <c r="O15" s="1"/>
  <c r="N16"/>
  <c r="O16" s="1"/>
  <c r="O17" s="1"/>
  <c r="P16"/>
  <c r="M16"/>
  <c r="C73"/>
  <c r="C86"/>
  <c r="F11" i="45"/>
  <c r="C18"/>
  <c r="E18" s="1"/>
  <c r="C19"/>
  <c r="E19"/>
  <c r="E20"/>
  <c r="D62"/>
  <c r="F10"/>
  <c r="L83" i="71"/>
  <c r="J85"/>
  <c r="J87" s="1"/>
  <c r="J84"/>
  <c r="J34"/>
  <c r="O40" i="67"/>
  <c r="C9" i="24"/>
  <c r="D11" i="70"/>
  <c r="B11"/>
  <c r="D10"/>
  <c r="B52" i="40"/>
  <c r="C51"/>
  <c r="D83" i="70"/>
  <c r="E72"/>
  <c r="D72"/>
  <c r="F63"/>
  <c r="F65"/>
  <c r="F66" s="1"/>
  <c r="L8" i="69"/>
  <c r="L9"/>
  <c r="L10"/>
  <c r="L11"/>
  <c r="L12"/>
  <c r="L13"/>
  <c r="E18"/>
  <c r="E19"/>
  <c r="E20"/>
  <c r="E21"/>
  <c r="E22"/>
  <c r="F26"/>
  <c r="G26"/>
  <c r="F27"/>
  <c r="G27"/>
  <c r="F28"/>
  <c r="G28"/>
  <c r="I28" s="1"/>
  <c r="H28"/>
  <c r="J28" s="1"/>
  <c r="F29"/>
  <c r="G29"/>
  <c r="F30"/>
  <c r="G30"/>
  <c r="I30"/>
  <c r="H30"/>
  <c r="J30" s="1"/>
  <c r="F31"/>
  <c r="G31"/>
  <c r="H31"/>
  <c r="J31" s="1"/>
  <c r="I31"/>
  <c r="M56" i="68"/>
  <c r="O56"/>
  <c r="O57"/>
  <c r="M61"/>
  <c r="O55"/>
  <c r="L45"/>
  <c r="J45"/>
  <c r="J16"/>
  <c r="K25"/>
  <c r="L25"/>
  <c r="K20"/>
  <c r="L20" s="1"/>
  <c r="P16" i="36"/>
  <c r="M16"/>
  <c r="N16"/>
  <c r="O16" s="1"/>
  <c r="O17" s="1"/>
  <c r="M15"/>
  <c r="N15"/>
  <c r="O15"/>
  <c r="P9"/>
  <c r="M9"/>
  <c r="N9"/>
  <c r="O9" s="1"/>
  <c r="M8"/>
  <c r="N8" s="1"/>
  <c r="O8" s="1"/>
  <c r="H83" i="68"/>
  <c r="M29" i="66"/>
  <c r="H17"/>
  <c r="L34" i="67"/>
  <c r="N34" s="1"/>
  <c r="L33"/>
  <c r="L32"/>
  <c r="N32" s="1"/>
  <c r="L30"/>
  <c r="N30" s="1"/>
  <c r="N37" s="1"/>
  <c r="N31"/>
  <c r="N33"/>
  <c r="N35"/>
  <c r="N17"/>
  <c r="N18"/>
  <c r="N19"/>
  <c r="N20"/>
  <c r="N22"/>
  <c r="K62"/>
  <c r="K79"/>
  <c r="L32" i="58"/>
  <c r="L40"/>
  <c r="T38"/>
  <c r="L38"/>
  <c r="T34"/>
  <c r="E13" i="64"/>
  <c r="E14" s="1"/>
  <c r="E20"/>
  <c r="E15"/>
  <c r="D10"/>
  <c r="D17" s="1"/>
  <c r="D18" s="1"/>
  <c r="D19" s="1"/>
  <c r="D20" s="1"/>
  <c r="H10" i="36"/>
  <c r="H17"/>
  <c r="H18" s="1"/>
  <c r="H19" s="1"/>
  <c r="H10" i="39"/>
  <c r="D5" i="61"/>
  <c r="M7"/>
  <c r="M8"/>
  <c r="AC15"/>
  <c r="AD15"/>
  <c r="C6" i="23"/>
  <c r="B10" i="54"/>
  <c r="B11"/>
  <c r="B12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T116" i="60"/>
  <c r="S108"/>
  <c r="T108"/>
  <c r="K114"/>
  <c r="J114"/>
  <c r="K116"/>
  <c r="J116"/>
  <c r="AE116" s="1"/>
  <c r="AE119" s="1"/>
  <c r="R114"/>
  <c r="J106"/>
  <c r="R116"/>
  <c r="R106"/>
  <c r="R102"/>
  <c r="S100"/>
  <c r="K100"/>
  <c r="R55"/>
  <c r="K53"/>
  <c r="S53"/>
  <c r="S56" i="59"/>
  <c r="K56"/>
  <c r="G87"/>
  <c r="L101" s="1"/>
  <c r="G89"/>
  <c r="I89"/>
  <c r="K89"/>
  <c r="G92"/>
  <c r="L97"/>
  <c r="F99"/>
  <c r="L99"/>
  <c r="F101"/>
  <c r="I106" s="1"/>
  <c r="E108"/>
  <c r="E110"/>
  <c r="G14" i="58"/>
  <c r="G8"/>
  <c r="E6"/>
  <c r="E8"/>
  <c r="I8"/>
  <c r="E11"/>
  <c r="G16"/>
  <c r="D18"/>
  <c r="J18"/>
  <c r="D20"/>
  <c r="J20"/>
  <c r="C27"/>
  <c r="C29" s="1"/>
  <c r="H30" i="56"/>
  <c r="G30"/>
  <c r="F30"/>
  <c r="E30"/>
  <c r="N17"/>
  <c r="F10" i="57"/>
  <c r="I17" i="56"/>
  <c r="N16"/>
  <c r="M16" s="1"/>
  <c r="F33" i="57"/>
  <c r="I16" i="56"/>
  <c r="N15"/>
  <c r="M15" s="1"/>
  <c r="I15"/>
  <c r="I14"/>
  <c r="N14"/>
  <c r="F16" i="57"/>
  <c r="F11"/>
  <c r="F12"/>
  <c r="F13"/>
  <c r="F14"/>
  <c r="F15"/>
  <c r="F17"/>
  <c r="F18"/>
  <c r="F19"/>
  <c r="F20"/>
  <c r="F21"/>
  <c r="F22"/>
  <c r="F23"/>
  <c r="F34"/>
  <c r="F35"/>
  <c r="F36"/>
  <c r="F37"/>
  <c r="F38"/>
  <c r="F39"/>
  <c r="F40"/>
  <c r="F41"/>
  <c r="F42"/>
  <c r="F43"/>
  <c r="F44"/>
  <c r="F45"/>
  <c r="F46"/>
  <c r="C73" i="36"/>
  <c r="C175" i="40"/>
  <c r="H175"/>
  <c r="G15" i="35"/>
  <c r="C39"/>
  <c r="C26"/>
  <c r="G16" i="34"/>
  <c r="C11"/>
  <c r="C47" i="55"/>
  <c r="C52"/>
  <c r="C166" i="40"/>
  <c r="H162"/>
  <c r="D18"/>
  <c r="K41" i="49"/>
  <c r="K42"/>
  <c r="K43"/>
  <c r="K37"/>
  <c r="I37"/>
  <c r="K22"/>
  <c r="L22" s="1"/>
  <c r="L50" s="1"/>
  <c r="J22"/>
  <c r="J50" s="1"/>
  <c r="I22"/>
  <c r="K38"/>
  <c r="I38"/>
  <c r="I52" s="1"/>
  <c r="K39"/>
  <c r="I24"/>
  <c r="F20"/>
  <c r="F27"/>
  <c r="D24"/>
  <c r="D27" s="1"/>
  <c r="V58" i="53"/>
  <c r="V52"/>
  <c r="V46"/>
  <c r="V45"/>
  <c r="V39" s="1"/>
  <c r="V38" s="1"/>
  <c r="V32" s="1"/>
  <c r="V31" s="1"/>
  <c r="V18" s="1"/>
  <c r="V17" s="1"/>
  <c r="V11" s="1"/>
  <c r="V10" s="1"/>
  <c r="AG58"/>
  <c r="AI10"/>
  <c r="AR58"/>
  <c r="AR52"/>
  <c r="AR46" s="1"/>
  <c r="AR45" s="1"/>
  <c r="AR39" s="1"/>
  <c r="AR38" s="1"/>
  <c r="AR32" s="1"/>
  <c r="AR31" s="1"/>
  <c r="AR18" s="1"/>
  <c r="AR17" s="1"/>
  <c r="AR11" s="1"/>
  <c r="AR10" s="1"/>
  <c r="AB11"/>
  <c r="AI12"/>
  <c r="AI14"/>
  <c r="AM11"/>
  <c r="AT11"/>
  <c r="AT17" s="1"/>
  <c r="AT18" s="1"/>
  <c r="AX11"/>
  <c r="V13"/>
  <c r="AG13"/>
  <c r="AI13"/>
  <c r="AR13"/>
  <c r="X21"/>
  <c r="X28"/>
  <c r="X35"/>
  <c r="X42"/>
  <c r="X49" s="1"/>
  <c r="X56" s="1"/>
  <c r="V56"/>
  <c r="V49"/>
  <c r="V42" s="1"/>
  <c r="V35" s="1"/>
  <c r="V21" s="1"/>
  <c r="V14" s="1"/>
  <c r="AI21"/>
  <c r="AI28" s="1"/>
  <c r="AI35"/>
  <c r="AI42" s="1"/>
  <c r="AI49" s="1"/>
  <c r="AI56" s="1"/>
  <c r="AG56" s="1"/>
  <c r="AG49" s="1"/>
  <c r="AG42" s="1"/>
  <c r="AG35" s="1"/>
  <c r="AG21" s="1"/>
  <c r="AG14" s="1"/>
  <c r="AN55"/>
  <c r="AN50"/>
  <c r="AT21"/>
  <c r="AT28" s="1"/>
  <c r="AT35" s="1"/>
  <c r="AT42" s="1"/>
  <c r="AT49" s="1"/>
  <c r="AT56" s="1"/>
  <c r="AR56" s="1"/>
  <c r="AR49" s="1"/>
  <c r="AR42" s="1"/>
  <c r="AR35" s="1"/>
  <c r="AR21" s="1"/>
  <c r="AR14" s="1"/>
  <c r="AY29"/>
  <c r="X17"/>
  <c r="X18" s="1"/>
  <c r="X24" s="1"/>
  <c r="X25" s="1"/>
  <c r="AT24"/>
  <c r="AT25"/>
  <c r="AT31" s="1"/>
  <c r="AT32" s="1"/>
  <c r="AT38" s="1"/>
  <c r="X19"/>
  <c r="AI19" s="1"/>
  <c r="AT19"/>
  <c r="C20"/>
  <c r="E20"/>
  <c r="V20"/>
  <c r="AG20"/>
  <c r="AI20"/>
  <c r="AR20"/>
  <c r="C21"/>
  <c r="E21"/>
  <c r="K22"/>
  <c r="L22" s="1"/>
  <c r="L50" s="1"/>
  <c r="J22"/>
  <c r="J50"/>
  <c r="I22"/>
  <c r="I50" s="1"/>
  <c r="E23"/>
  <c r="I24"/>
  <c r="C25"/>
  <c r="C27" s="1"/>
  <c r="E25"/>
  <c r="C26"/>
  <c r="P26"/>
  <c r="D27"/>
  <c r="F27"/>
  <c r="AN29"/>
  <c r="AN32"/>
  <c r="X33"/>
  <c r="AI33"/>
  <c r="V34"/>
  <c r="AG34"/>
  <c r="AR34"/>
  <c r="K41"/>
  <c r="K42"/>
  <c r="K37"/>
  <c r="I37"/>
  <c r="I38" s="1"/>
  <c r="I52" s="1"/>
  <c r="K38"/>
  <c r="L38" s="1"/>
  <c r="L52" s="1"/>
  <c r="K39"/>
  <c r="Z39"/>
  <c r="AK39"/>
  <c r="X40"/>
  <c r="AI40"/>
  <c r="K43"/>
  <c r="V41"/>
  <c r="AG41"/>
  <c r="AR41"/>
  <c r="D43"/>
  <c r="F43"/>
  <c r="AV44"/>
  <c r="AV60" s="1"/>
  <c r="AC45"/>
  <c r="AY45"/>
  <c r="AY48"/>
  <c r="X47"/>
  <c r="AI47"/>
  <c r="AC48"/>
  <c r="AC49"/>
  <c r="AY49"/>
  <c r="J52"/>
  <c r="K52"/>
  <c r="X54"/>
  <c r="AI54"/>
  <c r="C57"/>
  <c r="C58"/>
  <c r="E58"/>
  <c r="E60"/>
  <c r="V60"/>
  <c r="T117" s="1"/>
  <c r="X60"/>
  <c r="Z60"/>
  <c r="AK60"/>
  <c r="AR60"/>
  <c r="AT60"/>
  <c r="C62"/>
  <c r="E62"/>
  <c r="D64"/>
  <c r="F64"/>
  <c r="X117"/>
  <c r="E25" i="49"/>
  <c r="E23"/>
  <c r="L38"/>
  <c r="L52"/>
  <c r="V68" i="52"/>
  <c r="K72"/>
  <c r="Q73"/>
  <c r="Q84"/>
  <c r="P94"/>
  <c r="C26" i="47"/>
  <c r="C7"/>
  <c r="C22"/>
  <c r="C9" i="51"/>
  <c r="C10"/>
  <c r="C11" s="1"/>
  <c r="C12" s="1"/>
  <c r="C13"/>
  <c r="C14" s="1"/>
  <c r="C15" s="1"/>
  <c r="C16" s="1"/>
  <c r="C17" s="1"/>
  <c r="C18" s="1"/>
  <c r="C19" s="1"/>
  <c r="C20" s="1"/>
  <c r="C21" s="1"/>
  <c r="C22" s="1"/>
  <c r="P26" i="49"/>
  <c r="K52"/>
  <c r="J52"/>
  <c r="I50"/>
  <c r="C26"/>
  <c r="C25"/>
  <c r="C27" s="1"/>
  <c r="C21"/>
  <c r="C20"/>
  <c r="E21"/>
  <c r="E20"/>
  <c r="D81" i="45"/>
  <c r="D82"/>
  <c r="D9" i="43"/>
  <c r="D11"/>
  <c r="G16"/>
  <c r="B21"/>
  <c r="D22"/>
  <c r="D26" s="1"/>
  <c r="D36" s="1"/>
  <c r="D34"/>
  <c r="B45"/>
  <c r="D46"/>
  <c r="D54"/>
  <c r="D56" s="1"/>
  <c r="D42" i="37"/>
  <c r="D53"/>
  <c r="L56"/>
  <c r="L59"/>
  <c r="C37" i="41"/>
  <c r="C38" s="1"/>
  <c r="C86" i="36"/>
  <c r="E33" i="37"/>
  <c r="C169" i="40"/>
  <c r="D42" i="38"/>
  <c r="D46" s="1"/>
  <c r="D43"/>
  <c r="D21"/>
  <c r="D14"/>
  <c r="D13"/>
  <c r="E5" i="37"/>
  <c r="G15" i="34"/>
  <c r="C13"/>
  <c r="C26"/>
  <c r="H26"/>
  <c r="L26" s="1"/>
  <c r="I26" s="1"/>
  <c r="J26" s="1"/>
  <c r="K26" s="1"/>
  <c r="M26" s="1"/>
  <c r="C27"/>
  <c r="H37"/>
  <c r="L37" s="1"/>
  <c r="I37" s="1"/>
  <c r="J37" s="1"/>
  <c r="K37" s="1"/>
  <c r="M37" s="1"/>
  <c r="C39"/>
  <c r="H39" s="1"/>
  <c r="C40"/>
  <c r="U32" i="58"/>
  <c r="AY25" i="53"/>
  <c r="AY28" s="1"/>
  <c r="C40" i="35"/>
  <c r="C41" s="1"/>
  <c r="F178" i="40"/>
  <c r="F181"/>
  <c r="H26" i="69"/>
  <c r="I26"/>
  <c r="H38" i="34"/>
  <c r="L38"/>
  <c r="I38" s="1"/>
  <c r="J38" s="1"/>
  <c r="K38" s="1"/>
  <c r="M38" s="1"/>
  <c r="M17" i="56"/>
  <c r="G25" i="58"/>
  <c r="J36" i="71"/>
  <c r="J35"/>
  <c r="J38"/>
  <c r="E9" i="74"/>
  <c r="H25" i="34"/>
  <c r="AI17" i="53"/>
  <c r="AI18" s="1"/>
  <c r="AI24" s="1"/>
  <c r="AI25" s="1"/>
  <c r="AI31" s="1"/>
  <c r="AI32" s="1"/>
  <c r="AI38" s="1"/>
  <c r="AI39" s="1"/>
  <c r="AI45" s="1"/>
  <c r="AI46" s="1"/>
  <c r="AI52" s="1"/>
  <c r="AG52"/>
  <c r="AG46" s="1"/>
  <c r="AG45" s="1"/>
  <c r="AG39" s="1"/>
  <c r="AG38" s="1"/>
  <c r="AG32" s="1"/>
  <c r="AG31" s="1"/>
  <c r="AG18" s="1"/>
  <c r="AG17" s="1"/>
  <c r="AG11" s="1"/>
  <c r="AG10" s="1"/>
  <c r="AG60"/>
  <c r="C63"/>
  <c r="K50" i="49"/>
  <c r="C27" i="35"/>
  <c r="M14" i="56"/>
  <c r="J37" i="71"/>
  <c r="K50" i="53"/>
  <c r="J26" i="69"/>
  <c r="X31" i="53"/>
  <c r="X32" s="1"/>
  <c r="X38" s="1"/>
  <c r="X39" s="1"/>
  <c r="X45" s="1"/>
  <c r="X46" s="1"/>
  <c r="X52" s="1"/>
  <c r="X53" s="1"/>
  <c r="C28" i="35"/>
  <c r="AC28" i="53"/>
  <c r="AC31" s="1"/>
  <c r="F168" i="40"/>
  <c r="F165"/>
  <c r="AT39" i="53"/>
  <c r="AT45"/>
  <c r="AT46" s="1"/>
  <c r="AT52" s="1"/>
  <c r="AT53" s="1"/>
  <c r="C42" i="35"/>
  <c r="C43" s="1"/>
  <c r="C44" s="1"/>
  <c r="C45" s="1"/>
  <c r="C29"/>
  <c r="C30" s="1"/>
  <c r="C31" s="1"/>
  <c r="C32" s="1"/>
  <c r="C33"/>
  <c r="C34" s="1"/>
  <c r="F29" i="78"/>
  <c r="AG57" i="53"/>
  <c r="AR50"/>
  <c r="V50"/>
  <c r="AT43"/>
  <c r="AG43"/>
  <c r="M43"/>
  <c r="M39"/>
  <c r="AR36"/>
  <c r="V36"/>
  <c r="AT29"/>
  <c r="M27"/>
  <c r="AT22"/>
  <c r="X22"/>
  <c r="M20"/>
  <c r="AR15"/>
  <c r="AB15"/>
  <c r="M46" i="49"/>
  <c r="M41"/>
  <c r="M37"/>
  <c r="M28"/>
  <c r="M23"/>
  <c r="M17"/>
  <c r="G29" i="50"/>
  <c r="G15"/>
  <c r="G10" i="72"/>
  <c r="G23" i="39"/>
  <c r="G10"/>
  <c r="J65" i="52"/>
  <c r="K36"/>
  <c r="F34" i="56"/>
  <c r="J15"/>
  <c r="D21" i="51"/>
  <c r="D17"/>
  <c r="D13"/>
  <c r="D9"/>
  <c r="K16" i="68"/>
  <c r="N35" i="74"/>
  <c r="E15"/>
  <c r="N35" i="36"/>
  <c r="E75" i="70"/>
  <c r="E26"/>
  <c r="K65" i="67"/>
  <c r="K25" i="71"/>
  <c r="E18" i="75"/>
  <c r="G5"/>
  <c r="S20" i="73"/>
  <c r="G20"/>
  <c r="S19"/>
  <c r="G19"/>
  <c r="S18"/>
  <c r="G18"/>
  <c r="S17"/>
  <c r="G17"/>
  <c r="S16"/>
  <c r="G16"/>
  <c r="S15"/>
  <c r="G15"/>
  <c r="S14"/>
  <c r="G14"/>
  <c r="S13"/>
  <c r="G13"/>
  <c r="S12"/>
  <c r="G12"/>
  <c r="S11"/>
  <c r="G11"/>
  <c r="S10"/>
  <c r="G10"/>
  <c r="S9"/>
  <c r="G9"/>
  <c r="S8"/>
  <c r="G8"/>
  <c r="S7"/>
  <c r="G7"/>
  <c r="S6"/>
  <c r="G6"/>
  <c r="S5"/>
  <c r="G5"/>
  <c r="S4"/>
  <c r="G4"/>
  <c r="G43" i="78"/>
  <c r="F42"/>
  <c r="N13"/>
  <c r="F43" i="77"/>
  <c r="H41"/>
  <c r="N12"/>
  <c r="Q36" i="80"/>
  <c r="Q34"/>
  <c r="Q32"/>
  <c r="Q30"/>
  <c r="Q27"/>
  <c r="Q25"/>
  <c r="Q23"/>
  <c r="Q21"/>
  <c r="Q19"/>
  <c r="Q16"/>
  <c r="Q14"/>
  <c r="Q12"/>
  <c r="S9"/>
  <c r="V57" i="53"/>
  <c r="X43"/>
  <c r="M37"/>
  <c r="M31"/>
  <c r="M25"/>
  <c r="M22"/>
  <c r="AI15"/>
  <c r="M43" i="49"/>
  <c r="M31"/>
  <c r="M21"/>
  <c r="G22" i="50"/>
  <c r="G29" i="39"/>
  <c r="J77" i="52"/>
  <c r="H34" i="56"/>
  <c r="C10" i="47"/>
  <c r="D15" i="51"/>
  <c r="D11"/>
  <c r="C83" i="74"/>
  <c r="C16" i="36"/>
  <c r="E11" i="70"/>
  <c r="N81" i="71"/>
  <c r="E38" i="75"/>
  <c r="M18"/>
  <c r="U20" i="73"/>
  <c r="U19"/>
  <c r="U18"/>
  <c r="U17"/>
  <c r="U16"/>
  <c r="U15"/>
  <c r="U14"/>
  <c r="U13"/>
  <c r="U12"/>
  <c r="U11"/>
  <c r="U10"/>
  <c r="U9"/>
  <c r="U8"/>
  <c r="U7"/>
  <c r="U6"/>
  <c r="U5"/>
  <c r="U4"/>
  <c r="H79" i="78"/>
  <c r="H43" i="77"/>
  <c r="F41"/>
  <c r="Q35" i="80"/>
  <c r="Q31"/>
  <c r="Q26"/>
  <c r="Q24"/>
  <c r="Q20"/>
  <c r="Q15"/>
  <c r="S10"/>
  <c r="AT57" i="53"/>
  <c r="AI50"/>
  <c r="AR43"/>
  <c r="M42"/>
  <c r="AI36"/>
  <c r="AI29"/>
  <c r="AR22"/>
  <c r="M17"/>
  <c r="X15"/>
  <c r="M40" i="49"/>
  <c r="M27"/>
  <c r="G41" i="50"/>
  <c r="G8"/>
  <c r="G18" i="39"/>
  <c r="J64" i="52"/>
  <c r="E34" i="56"/>
  <c r="D20" i="51"/>
  <c r="D12"/>
  <c r="K15" i="68"/>
  <c r="D75" i="70"/>
  <c r="M46" i="75"/>
  <c r="E29"/>
  <c r="AB20" i="73"/>
  <c r="AB19"/>
  <c r="AB18"/>
  <c r="AB17"/>
  <c r="AB16"/>
  <c r="AB15"/>
  <c r="AB14"/>
  <c r="AB13"/>
  <c r="AB12"/>
  <c r="AB11"/>
  <c r="AB10"/>
  <c r="AB9"/>
  <c r="R9"/>
  <c r="R8"/>
  <c r="R7"/>
  <c r="R6"/>
  <c r="R5"/>
  <c r="AB4"/>
  <c r="H80" i="78"/>
  <c r="H41"/>
  <c r="H42" i="77"/>
  <c r="S37" i="80"/>
  <c r="S31"/>
  <c r="S26"/>
  <c r="S22"/>
  <c r="S18"/>
  <c r="S13"/>
  <c r="Q9"/>
  <c r="AI57" i="53"/>
  <c r="AT50"/>
  <c r="X50"/>
  <c r="M44"/>
  <c r="AI43"/>
  <c r="V43"/>
  <c r="M40"/>
  <c r="AT36"/>
  <c r="X36"/>
  <c r="M30"/>
  <c r="M28"/>
  <c r="M23"/>
  <c r="AG22"/>
  <c r="M21"/>
  <c r="AT15"/>
  <c r="AG15"/>
  <c r="M47" i="49"/>
  <c r="M42"/>
  <c r="M38"/>
  <c r="M30"/>
  <c r="M25"/>
  <c r="M20"/>
  <c r="G30" i="50"/>
  <c r="G16"/>
  <c r="G16" i="72"/>
  <c r="G24" i="39"/>
  <c r="G11"/>
  <c r="J76" i="52"/>
  <c r="K38"/>
  <c r="G34" i="56"/>
  <c r="J16"/>
  <c r="D22" i="51"/>
  <c r="D18"/>
  <c r="D14"/>
  <c r="D10"/>
  <c r="J43" i="68"/>
  <c r="C76" i="74"/>
  <c r="C16"/>
  <c r="C76" i="36"/>
  <c r="C15"/>
  <c r="E46" i="70"/>
  <c r="E10"/>
  <c r="K26" i="71"/>
  <c r="E46" i="75"/>
  <c r="J18"/>
  <c r="G6"/>
  <c r="T20" i="73"/>
  <c r="P20"/>
  <c r="T19"/>
  <c r="P19"/>
  <c r="T18"/>
  <c r="P18"/>
  <c r="T17"/>
  <c r="P17"/>
  <c r="T16"/>
  <c r="P16"/>
  <c r="T15"/>
  <c r="P15"/>
  <c r="T14"/>
  <c r="P14"/>
  <c r="T13"/>
  <c r="P13"/>
  <c r="T12"/>
  <c r="P12"/>
  <c r="T11"/>
  <c r="P11"/>
  <c r="T10"/>
  <c r="P10"/>
  <c r="T9"/>
  <c r="P9"/>
  <c r="T8"/>
  <c r="P8"/>
  <c r="T7"/>
  <c r="P7"/>
  <c r="T6"/>
  <c r="P6"/>
  <c r="T5"/>
  <c r="P5"/>
  <c r="T4"/>
  <c r="P4"/>
  <c r="H43" i="78"/>
  <c r="G42"/>
  <c r="F41"/>
  <c r="G43" i="77"/>
  <c r="F42"/>
  <c r="N13"/>
  <c r="S36" i="80"/>
  <c r="S34"/>
  <c r="S32"/>
  <c r="S30"/>
  <c r="S27"/>
  <c r="S25"/>
  <c r="S23"/>
  <c r="S21"/>
  <c r="S19"/>
  <c r="S16"/>
  <c r="S14"/>
  <c r="S12"/>
  <c r="Q10"/>
  <c r="Q8"/>
  <c r="AR57" i="53"/>
  <c r="AG50"/>
  <c r="M46"/>
  <c r="AK43"/>
  <c r="M41"/>
  <c r="AG36"/>
  <c r="X29"/>
  <c r="AI22"/>
  <c r="AX15"/>
  <c r="V15"/>
  <c r="M39" i="49"/>
  <c r="M26"/>
  <c r="G40" i="50"/>
  <c r="G7"/>
  <c r="G17" i="39"/>
  <c r="K39" i="52"/>
  <c r="J17" i="56"/>
  <c r="D19" i="51"/>
  <c r="L43" i="68"/>
  <c r="E16" i="74"/>
  <c r="C83" i="36"/>
  <c r="E47" i="70"/>
  <c r="J46" i="75"/>
  <c r="G7"/>
  <c r="Q20" i="73"/>
  <c r="Q19"/>
  <c r="Q18"/>
  <c r="Q17"/>
  <c r="Q16"/>
  <c r="Q15"/>
  <c r="Q14"/>
  <c r="Q13"/>
  <c r="Q12"/>
  <c r="Q11"/>
  <c r="Q10"/>
  <c r="Q9"/>
  <c r="Q8"/>
  <c r="Q7"/>
  <c r="Q6"/>
  <c r="Q5"/>
  <c r="Q4"/>
  <c r="H42" i="78"/>
  <c r="G41"/>
  <c r="G42" i="77"/>
  <c r="Q37" i="80"/>
  <c r="Q33"/>
  <c r="Q29"/>
  <c r="Q22"/>
  <c r="Q18"/>
  <c r="Q13"/>
  <c r="S8"/>
  <c r="X57" i="53"/>
  <c r="M47"/>
  <c r="Z43"/>
  <c r="M38"/>
  <c r="M36"/>
  <c r="M26"/>
  <c r="V22"/>
  <c r="AM15"/>
  <c r="M44" i="49"/>
  <c r="M36"/>
  <c r="M22"/>
  <c r="G23" i="50"/>
  <c r="G30" i="39"/>
  <c r="J91" i="52"/>
  <c r="K34"/>
  <c r="J14" i="56"/>
  <c r="D16" i="51"/>
  <c r="D8"/>
  <c r="N34" i="74"/>
  <c r="C15"/>
  <c r="N34" i="36"/>
  <c r="E25" i="70"/>
  <c r="N82" i="71"/>
  <c r="G8" i="75"/>
  <c r="R20" i="73"/>
  <c r="R19"/>
  <c r="R18"/>
  <c r="R17"/>
  <c r="R16"/>
  <c r="R15"/>
  <c r="R14"/>
  <c r="R13"/>
  <c r="R12"/>
  <c r="R11"/>
  <c r="R10"/>
  <c r="AB8"/>
  <c r="AB7"/>
  <c r="AB6"/>
  <c r="AB5"/>
  <c r="R4"/>
  <c r="F43" i="78"/>
  <c r="N12"/>
  <c r="G41" i="77"/>
  <c r="S35" i="80"/>
  <c r="S33"/>
  <c r="S29"/>
  <c r="S24"/>
  <c r="S20"/>
  <c r="S15"/>
  <c r="S11"/>
  <c r="Q11"/>
  <c r="X26"/>
  <c r="X23"/>
  <c r="X25"/>
  <c r="X31"/>
  <c r="X34"/>
  <c r="X33"/>
  <c r="X10"/>
  <c r="X14"/>
  <c r="D68" i="78"/>
  <c r="E28" i="76"/>
  <c r="Q54" i="73"/>
  <c r="I58"/>
  <c r="S61"/>
  <c r="K65"/>
  <c r="U68"/>
  <c r="AD19"/>
  <c r="L5"/>
  <c r="H5"/>
  <c r="M54" i="68"/>
  <c r="E26" i="76"/>
  <c r="O54" i="73"/>
  <c r="G58"/>
  <c r="Q61"/>
  <c r="I65"/>
  <c r="S68"/>
  <c r="AF18"/>
  <c r="J5"/>
  <c r="H7"/>
  <c r="I12" i="69"/>
  <c r="E39" i="76"/>
  <c r="R59" i="73"/>
  <c r="R67"/>
  <c r="F35" i="54"/>
  <c r="C18"/>
  <c r="L8" i="37"/>
  <c r="E27" i="76"/>
  <c r="P58" i="73"/>
  <c r="P66"/>
  <c r="I8" i="69"/>
  <c r="F17" i="54"/>
  <c r="C36"/>
  <c r="J20" i="37"/>
  <c r="N54" i="73"/>
  <c r="AE9"/>
  <c r="O82" i="71"/>
  <c r="F32" i="54"/>
  <c r="F15" i="76"/>
  <c r="E40"/>
  <c r="K55" i="73"/>
  <c r="U58"/>
  <c r="M62"/>
  <c r="W65"/>
  <c r="AD6"/>
  <c r="AC9"/>
  <c r="I8"/>
  <c r="H17"/>
  <c r="F21" i="40"/>
  <c r="F13" i="76"/>
  <c r="E38"/>
  <c r="I55" i="73"/>
  <c r="S58"/>
  <c r="K62"/>
  <c r="U65"/>
  <c r="AF5"/>
  <c r="AC7"/>
  <c r="K8"/>
  <c r="H19"/>
  <c r="C10" i="23"/>
  <c r="J55" i="73"/>
  <c r="J63"/>
  <c r="AG13"/>
  <c r="I19"/>
  <c r="G26" i="35"/>
  <c r="C13" i="54"/>
  <c r="L12" i="37"/>
  <c r="F26" i="76"/>
  <c r="L56" i="73"/>
  <c r="E16" i="76"/>
  <c r="W53" i="73"/>
  <c r="O57"/>
  <c r="G61"/>
  <c r="Q64"/>
  <c r="I68"/>
  <c r="AD16"/>
  <c r="K18"/>
  <c r="E20" i="54"/>
  <c r="F37" i="76"/>
  <c r="W52" i="73"/>
  <c r="O56"/>
  <c r="G60"/>
  <c r="Q63"/>
  <c r="I67"/>
  <c r="AF11"/>
  <c r="I14"/>
  <c r="E14" i="54"/>
  <c r="H52" i="73"/>
  <c r="H60"/>
  <c r="H68"/>
  <c r="J6"/>
  <c r="M34" i="58"/>
  <c r="F15" i="54"/>
  <c r="C38"/>
  <c r="M10" i="37"/>
  <c r="E35" i="76"/>
  <c r="N59" i="73"/>
  <c r="O59"/>
  <c r="AC4"/>
  <c r="E16" i="54"/>
  <c r="I61" i="73"/>
  <c r="T62"/>
  <c r="F11" i="54"/>
  <c r="I11" i="37"/>
  <c r="L64" i="73"/>
  <c r="G21" i="40"/>
  <c r="F26" i="35"/>
  <c r="C32" i="54"/>
  <c r="H44" i="37"/>
  <c r="E29" i="76"/>
  <c r="AE17" i="73"/>
  <c r="D179" i="40"/>
  <c r="L36" i="52"/>
  <c r="D163" i="40"/>
  <c r="R58" i="73"/>
  <c r="AC18"/>
  <c r="C9" i="61"/>
  <c r="C27" i="54"/>
  <c r="N58" i="73"/>
  <c r="G8" i="35"/>
  <c r="R62" i="73"/>
  <c r="I13"/>
  <c r="F22" i="54"/>
  <c r="M64" i="52"/>
  <c r="M91"/>
  <c r="G40" i="35"/>
  <c r="F29"/>
  <c r="G43"/>
  <c r="F33"/>
  <c r="K61" i="73"/>
  <c r="U55"/>
  <c r="AF8"/>
  <c r="V59"/>
  <c r="AG12"/>
  <c r="H8"/>
  <c r="F29" i="54"/>
  <c r="N36" i="52"/>
  <c r="L10" i="37"/>
  <c r="T59" i="73"/>
  <c r="L18"/>
  <c r="D22" i="54"/>
  <c r="L11" i="37"/>
  <c r="N60" i="73"/>
  <c r="H5" i="75"/>
  <c r="J68" i="73"/>
  <c r="C33" i="54"/>
  <c r="F122" i="40"/>
  <c r="L4" i="73"/>
  <c r="E29" i="35"/>
  <c r="E36" i="76"/>
  <c r="S65" i="73"/>
  <c r="H13"/>
  <c r="S56"/>
  <c r="AF12"/>
  <c r="C14" i="23"/>
  <c r="K9" i="73"/>
  <c r="C26" i="54"/>
  <c r="R53" i="73"/>
  <c r="AG4"/>
  <c r="K13"/>
  <c r="F25" i="54"/>
  <c r="L34" i="52"/>
  <c r="I22" i="37"/>
  <c r="R60" i="73"/>
  <c r="H10"/>
  <c r="F24" i="54"/>
  <c r="E20" i="51"/>
  <c r="T57" i="73"/>
  <c r="AE20"/>
  <c r="X22" i="80"/>
  <c r="X21"/>
  <c r="X24"/>
  <c r="X30"/>
  <c r="X29"/>
  <c r="X9"/>
  <c r="X13"/>
  <c r="X8"/>
  <c r="E12" i="76"/>
  <c r="S53" i="73"/>
  <c r="K57"/>
  <c r="U60"/>
  <c r="M64"/>
  <c r="W67"/>
  <c r="AD15"/>
  <c r="L17"/>
  <c r="F9" i="54"/>
  <c r="E10" i="76"/>
  <c r="Q53" i="73"/>
  <c r="I57"/>
  <c r="S60"/>
  <c r="K64"/>
  <c r="U67"/>
  <c r="AF14"/>
  <c r="J17"/>
  <c r="E18" i="54"/>
  <c r="E7" i="76"/>
  <c r="V57" i="73"/>
  <c r="V65"/>
  <c r="AC16"/>
  <c r="H7" i="75"/>
  <c r="I13" i="69"/>
  <c r="E39" i="35"/>
  <c r="D17" i="54"/>
  <c r="M77" i="52"/>
  <c r="I21" i="37"/>
  <c r="F34" i="76"/>
  <c r="T56" i="73"/>
  <c r="T64"/>
  <c r="AG18"/>
  <c r="L16"/>
  <c r="E29" i="54"/>
  <c r="F33"/>
  <c r="C20"/>
  <c r="M65" i="52"/>
  <c r="I24" i="37"/>
  <c r="E13" i="76"/>
  <c r="V66" i="73"/>
  <c r="J59" i="59"/>
  <c r="E24" i="76"/>
  <c r="M54" i="73"/>
  <c r="W57"/>
  <c r="O61"/>
  <c r="G65"/>
  <c r="Q68"/>
  <c r="AD18"/>
  <c r="I4"/>
  <c r="I20"/>
  <c r="E12" i="54"/>
  <c r="E22" i="76"/>
  <c r="K54" i="73"/>
  <c r="U57"/>
  <c r="M61"/>
  <c r="W64"/>
  <c r="O68"/>
  <c r="AF17"/>
  <c r="K4"/>
  <c r="K20"/>
  <c r="D19" i="40"/>
  <c r="J41" i="68"/>
  <c r="N53" i="73"/>
  <c r="N61"/>
  <c r="AG5"/>
  <c r="I11"/>
  <c r="E9" i="54"/>
  <c r="D21"/>
  <c r="K65" i="52"/>
  <c r="K22" i="37"/>
  <c r="C20" i="23"/>
  <c r="H54" i="73"/>
  <c r="F39" i="76"/>
  <c r="G53" i="73"/>
  <c r="Q56"/>
  <c r="I60"/>
  <c r="S63"/>
  <c r="K67"/>
  <c r="AD12"/>
  <c r="K14"/>
  <c r="E36" i="54"/>
  <c r="F21" i="76"/>
  <c r="G52" i="73"/>
  <c r="Q55"/>
  <c r="I59"/>
  <c r="S62"/>
  <c r="K66"/>
  <c r="AF7"/>
  <c r="AC15"/>
  <c r="I10"/>
  <c r="E30" i="54"/>
  <c r="E15" i="76"/>
  <c r="L58" i="73"/>
  <c r="L66"/>
  <c r="O81" i="71"/>
  <c r="C10" i="61"/>
  <c r="F31" i="54"/>
  <c r="C22"/>
  <c r="L20" i="37"/>
  <c r="F42" i="76"/>
  <c r="J57" i="73"/>
  <c r="D69" i="77"/>
  <c r="D70" s="1"/>
  <c r="W55" i="73"/>
  <c r="AD9"/>
  <c r="Q57"/>
  <c r="AF16"/>
  <c r="T54"/>
  <c r="E94" i="40"/>
  <c r="R61" i="73"/>
  <c r="AG16"/>
  <c r="S58" i="59"/>
  <c r="C11" i="54"/>
  <c r="C22" i="23"/>
  <c r="T67" i="73"/>
  <c r="L41" i="68"/>
  <c r="F115" i="40"/>
  <c r="J54" i="73"/>
  <c r="AE8"/>
  <c r="E31" i="54"/>
  <c r="D24"/>
  <c r="V54" i="73"/>
  <c r="AE11"/>
  <c r="C17" i="54"/>
  <c r="E18" i="51"/>
  <c r="F126" i="40"/>
  <c r="J58" i="73"/>
  <c r="G7" i="35"/>
  <c r="L9" i="37"/>
  <c r="E40" i="35"/>
  <c r="G28"/>
  <c r="F32"/>
  <c r="S57" i="73"/>
  <c r="AD17"/>
  <c r="K52"/>
  <c r="O66"/>
  <c r="T66"/>
  <c r="E43" i="76"/>
  <c r="L68" i="73"/>
  <c r="J10"/>
  <c r="F94" i="40"/>
  <c r="G25" i="35"/>
  <c r="C24" i="54"/>
  <c r="K23" i="37"/>
  <c r="P53" i="73"/>
  <c r="F37" i="35"/>
  <c r="H45" i="37"/>
  <c r="F32" i="76"/>
  <c r="L14" i="73"/>
  <c r="D166" i="40"/>
  <c r="J60" i="73"/>
  <c r="F20" i="54"/>
  <c r="K44" i="37"/>
  <c r="V68" i="73"/>
  <c r="C15" i="54"/>
  <c r="G32" i="35"/>
  <c r="F11" i="76"/>
  <c r="I62" i="73"/>
  <c r="J7"/>
  <c r="I53"/>
  <c r="M67"/>
  <c r="H6" i="75"/>
  <c r="P68" i="73"/>
  <c r="F27" i="54"/>
  <c r="J11" i="37"/>
  <c r="H66" i="73"/>
  <c r="J4"/>
  <c r="E38" i="54"/>
  <c r="F38" i="35"/>
  <c r="C28" i="54"/>
  <c r="J46" i="37"/>
  <c r="L55" i="73"/>
  <c r="M9" i="37"/>
  <c r="L53" i="73"/>
  <c r="AE4"/>
  <c r="C7" i="23"/>
  <c r="X35" i="80"/>
  <c r="X16"/>
  <c r="F19" i="76"/>
  <c r="O55" i="73"/>
  <c r="Q62"/>
  <c r="AD7"/>
  <c r="L9"/>
  <c r="C24" i="23"/>
  <c r="E42" i="76"/>
  <c r="W58" i="73"/>
  <c r="G66"/>
  <c r="AC11"/>
  <c r="V61"/>
  <c r="L12"/>
  <c r="R56" i="60"/>
  <c r="C34" i="54"/>
  <c r="T52" i="73"/>
  <c r="T68"/>
  <c r="H8" i="75"/>
  <c r="D31" i="54"/>
  <c r="I9" i="37"/>
  <c r="D30" i="54"/>
  <c r="Q52" i="73"/>
  <c r="S59"/>
  <c r="U66"/>
  <c r="F29" i="76"/>
  <c r="G56" i="73"/>
  <c r="I63"/>
  <c r="AF9"/>
  <c r="K12"/>
  <c r="E22" i="54"/>
  <c r="N57" i="73"/>
  <c r="AC8"/>
  <c r="E15" i="23"/>
  <c r="C30" i="54"/>
  <c r="E19" i="76"/>
  <c r="E32"/>
  <c r="M58" i="73"/>
  <c r="O65"/>
  <c r="AD20"/>
  <c r="H9"/>
  <c r="U53"/>
  <c r="W60"/>
  <c r="G68"/>
  <c r="L54"/>
  <c r="AG9"/>
  <c r="E25" i="54"/>
  <c r="D29"/>
  <c r="G123" i="40"/>
  <c r="F27" i="76"/>
  <c r="J11" i="73"/>
  <c r="S64"/>
  <c r="AG11"/>
  <c r="F18" i="76"/>
  <c r="K5" i="73"/>
  <c r="F21" i="54"/>
  <c r="K77" i="52"/>
  <c r="J56" i="73"/>
  <c r="F16" i="54"/>
  <c r="E181" i="40"/>
  <c r="J8" i="73"/>
  <c r="V62"/>
  <c r="F36" i="54"/>
  <c r="L23" i="37"/>
  <c r="J66" i="73"/>
  <c r="D20" i="54"/>
  <c r="S55" i="60"/>
  <c r="U64" i="73"/>
  <c r="M59"/>
  <c r="E23" i="76"/>
  <c r="I23" i="37"/>
  <c r="AC12" i="73"/>
  <c r="J103" i="60"/>
  <c r="D30" i="38"/>
  <c r="I11" i="69"/>
  <c r="F124" i="40"/>
  <c r="G124" s="1"/>
  <c r="G37" i="35"/>
  <c r="K7" i="73"/>
  <c r="F24" i="76"/>
  <c r="G55" i="73"/>
  <c r="E32" i="54"/>
  <c r="E37"/>
  <c r="J61" i="73"/>
  <c r="H16"/>
  <c r="D35" i="54"/>
  <c r="H65" i="73"/>
  <c r="D14" i="54"/>
  <c r="I5" i="73"/>
  <c r="D32" i="54"/>
  <c r="F44" i="76"/>
  <c r="P65" i="73"/>
  <c r="F12" i="54"/>
  <c r="J10" i="37"/>
  <c r="T53" i="73"/>
  <c r="AE6"/>
  <c r="C14" i="54"/>
  <c r="J12" i="37"/>
  <c r="F44" i="35"/>
  <c r="E9" i="51"/>
  <c r="K58" i="59"/>
  <c r="N64" i="73"/>
  <c r="I20" i="37"/>
  <c r="G30" i="35"/>
  <c r="F43" i="76"/>
  <c r="W63" i="73"/>
  <c r="J15"/>
  <c r="F9" i="76"/>
  <c r="G62" i="73"/>
  <c r="L7"/>
  <c r="F30" i="76"/>
  <c r="H20" i="73"/>
  <c r="E11" i="76"/>
  <c r="V67" i="73"/>
  <c r="I7"/>
  <c r="E13" i="54"/>
  <c r="F13"/>
  <c r="J9" i="37"/>
  <c r="H57" i="73"/>
  <c r="K15"/>
  <c r="D38" i="54"/>
  <c r="E8" i="51"/>
  <c r="F16" i="76"/>
  <c r="H63" i="73"/>
  <c r="K11"/>
  <c r="F39" i="35"/>
  <c r="K46" i="37"/>
  <c r="L59" i="73"/>
  <c r="F28" i="54"/>
  <c r="J21" i="37"/>
  <c r="E33" i="76"/>
  <c r="H67" i="73"/>
  <c r="F14" i="54"/>
  <c r="E19" i="51"/>
  <c r="E21"/>
  <c r="F30" i="35"/>
  <c r="G45"/>
  <c r="R52" i="73"/>
  <c r="N38" i="52"/>
  <c r="D18" i="54"/>
  <c r="N56" i="73"/>
  <c r="E13" i="51"/>
  <c r="F43" i="35"/>
  <c r="X27" i="80"/>
  <c r="X32"/>
  <c r="X15"/>
  <c r="S102" i="60"/>
  <c r="U52" i="73"/>
  <c r="W59"/>
  <c r="G67"/>
  <c r="F33" i="76"/>
  <c r="K56" i="73"/>
  <c r="M63"/>
  <c r="AF10"/>
  <c r="J13"/>
  <c r="E34" i="54"/>
  <c r="R55" i="73"/>
  <c r="AG15"/>
  <c r="E33" i="54"/>
  <c r="D33"/>
  <c r="D182" i="40"/>
  <c r="E182" s="1"/>
  <c r="P62" i="73"/>
  <c r="L8"/>
  <c r="E37" i="35"/>
  <c r="K45" i="37"/>
  <c r="N62" i="73"/>
  <c r="E12" i="51"/>
  <c r="E8" i="76"/>
  <c r="G57" i="73"/>
  <c r="I64"/>
  <c r="AD14"/>
  <c r="I16"/>
  <c r="E28" i="54"/>
  <c r="M53" i="73"/>
  <c r="O60"/>
  <c r="Q67"/>
  <c r="E31" i="76"/>
  <c r="J67" i="73"/>
  <c r="C13" i="23"/>
  <c r="D37" i="54"/>
  <c r="E162" i="40"/>
  <c r="L60" i="73"/>
  <c r="F23" i="76"/>
  <c r="S55" i="73"/>
  <c r="U62"/>
  <c r="AD8"/>
  <c r="K10"/>
  <c r="C16" i="23"/>
  <c r="E30" i="76"/>
  <c r="K58" i="73"/>
  <c r="M65"/>
  <c r="AF19"/>
  <c r="H11"/>
  <c r="F22" i="76"/>
  <c r="H64" i="73"/>
  <c r="H12"/>
  <c r="E26" i="35"/>
  <c r="K24" i="37"/>
  <c r="N55" i="73"/>
  <c r="Q66"/>
  <c r="G54"/>
  <c r="E26" i="54"/>
  <c r="AG6" i="73"/>
  <c r="I8" i="37"/>
  <c r="E27" i="54"/>
  <c r="J23" i="37"/>
  <c r="R66" i="73"/>
  <c r="F26" i="54"/>
  <c r="E21" i="76"/>
  <c r="H4" i="75"/>
  <c r="R54" i="73"/>
  <c r="I44" i="37"/>
  <c r="E41" i="35"/>
  <c r="I54" i="73"/>
  <c r="F25" i="76"/>
  <c r="L11" i="73"/>
  <c r="C9" i="54"/>
  <c r="R65" i="73"/>
  <c r="D21" i="40"/>
  <c r="D19" i="54"/>
  <c r="AE5" i="73"/>
  <c r="N68"/>
  <c r="N52"/>
  <c r="F38" i="54"/>
  <c r="F31" i="35"/>
  <c r="AC5" i="73"/>
  <c r="U63"/>
  <c r="P60"/>
  <c r="AC20"/>
  <c r="F36" i="76"/>
  <c r="M59" i="68"/>
  <c r="K25" i="37"/>
  <c r="T65" i="73"/>
  <c r="F34" i="54"/>
  <c r="J22" i="37"/>
  <c r="H61" i="73"/>
  <c r="L10"/>
  <c r="G39" i="35"/>
  <c r="J24" i="37"/>
  <c r="F40" i="76"/>
  <c r="L65" i="73"/>
  <c r="H14"/>
  <c r="C23" i="54"/>
  <c r="J45" i="37"/>
  <c r="E31" i="35"/>
  <c r="C12" i="23"/>
  <c r="H18" i="73"/>
  <c r="J52"/>
  <c r="G41" i="35"/>
  <c r="M60" i="73"/>
  <c r="I10" i="69"/>
  <c r="O58" i="73"/>
  <c r="AF20"/>
  <c r="E10" i="54"/>
  <c r="AG19" i="73"/>
  <c r="D25" i="54"/>
  <c r="G125" i="40"/>
  <c r="J65" i="73"/>
  <c r="C9" i="23"/>
  <c r="F37" i="54"/>
  <c r="D176" i="40"/>
  <c r="E176" s="1"/>
  <c r="J25" i="37"/>
  <c r="V52" i="73"/>
  <c r="AC6"/>
  <c r="E179" i="40"/>
  <c r="K91" i="52"/>
  <c r="E163" i="40"/>
  <c r="P59" i="73"/>
  <c r="J56" i="60"/>
  <c r="C35" i="54"/>
  <c r="E17" i="51"/>
  <c r="T55" i="73"/>
  <c r="AE15"/>
  <c r="R103" i="60"/>
  <c r="I46" i="37"/>
  <c r="F8" i="76"/>
  <c r="P63" i="73"/>
  <c r="J16"/>
  <c r="G8" i="34"/>
  <c r="I10" i="37"/>
  <c r="F40" i="35"/>
  <c r="E44"/>
  <c r="F34"/>
  <c r="C37" i="54"/>
  <c r="C10"/>
  <c r="E35"/>
  <c r="G10" i="23"/>
  <c r="E15" i="51"/>
  <c r="G49" i="77"/>
  <c r="G48" i="78"/>
  <c r="C21" i="74"/>
  <c r="C18" i="47"/>
  <c r="C22" i="74"/>
  <c r="E19"/>
  <c r="H33" i="77"/>
  <c r="C12" i="47"/>
  <c r="F45" i="78"/>
  <c r="G50"/>
  <c r="H36"/>
  <c r="E27" i="74"/>
  <c r="G45" i="78"/>
  <c r="C23" i="36"/>
  <c r="F36" i="77"/>
  <c r="C19" i="36"/>
  <c r="H49" i="77"/>
  <c r="F47"/>
  <c r="H51" i="78"/>
  <c r="F36"/>
  <c r="G37" i="77"/>
  <c r="F50" i="78"/>
  <c r="E22" i="74"/>
  <c r="C19"/>
  <c r="C17" i="36"/>
  <c r="G50" i="77"/>
  <c r="G46"/>
  <c r="G49" i="78"/>
  <c r="C30" i="41"/>
  <c r="I36" i="24"/>
  <c r="D56"/>
  <c r="C32"/>
  <c r="E24"/>
  <c r="C31"/>
  <c r="D32"/>
  <c r="C15" i="47"/>
  <c r="D50" i="24"/>
  <c r="E39"/>
  <c r="D21"/>
  <c r="D28"/>
  <c r="C24"/>
  <c r="C20"/>
  <c r="E27"/>
  <c r="C45"/>
  <c r="D19"/>
  <c r="I37"/>
  <c r="X20" i="80"/>
  <c r="X37"/>
  <c r="G59" i="73"/>
  <c r="AC13"/>
  <c r="F17" i="76"/>
  <c r="O62" i="73"/>
  <c r="J9"/>
  <c r="V53"/>
  <c r="D13" i="40"/>
  <c r="D20" s="1"/>
  <c r="T60" i="73"/>
  <c r="R17" i="56"/>
  <c r="F31" i="76"/>
  <c r="K63" i="73"/>
  <c r="I12"/>
  <c r="O52"/>
  <c r="S66"/>
  <c r="N65"/>
  <c r="F23" i="54"/>
  <c r="G114" i="40"/>
  <c r="W61" i="73"/>
  <c r="K6"/>
  <c r="E14" i="76"/>
  <c r="O64" i="73"/>
  <c r="I18"/>
  <c r="L62"/>
  <c r="I45" i="37"/>
  <c r="E18" i="76"/>
  <c r="E21" i="54"/>
  <c r="K21" i="37"/>
  <c r="E16" i="51"/>
  <c r="E38" i="35"/>
  <c r="I17" i="73"/>
  <c r="E17" i="76"/>
  <c r="E20"/>
  <c r="AC19" i="73"/>
  <c r="N63"/>
  <c r="D9" i="54"/>
  <c r="J64" i="73"/>
  <c r="V64"/>
  <c r="G42" i="35"/>
  <c r="AD5" i="73"/>
  <c r="P52"/>
  <c r="AG14"/>
  <c r="C19" i="23"/>
  <c r="L61" i="73"/>
  <c r="E166" i="40"/>
  <c r="P57" i="73"/>
  <c r="T61"/>
  <c r="D28" i="54"/>
  <c r="U34" i="58"/>
  <c r="E30" i="35"/>
  <c r="L25" i="71"/>
  <c r="R64" i="73"/>
  <c r="R59" i="59"/>
  <c r="L26" i="71"/>
  <c r="U56" i="73"/>
  <c r="AF4"/>
  <c r="P64"/>
  <c r="H46" i="37"/>
  <c r="AG20" i="73"/>
  <c r="F25" i="35"/>
  <c r="T35" i="58"/>
  <c r="I43" i="24"/>
  <c r="G115" i="40"/>
  <c r="AE12" i="73"/>
  <c r="D16" i="54"/>
  <c r="E37" i="76"/>
  <c r="C11" i="23"/>
  <c r="E14" i="51"/>
  <c r="H59" i="73"/>
  <c r="L22" i="37"/>
  <c r="E28" i="35"/>
  <c r="G31"/>
  <c r="AE19" i="73"/>
  <c r="D36" i="54"/>
  <c r="G34" i="35"/>
  <c r="H50" i="78"/>
  <c r="F46"/>
  <c r="C26" i="74"/>
  <c r="G51" i="78"/>
  <c r="F37" i="77"/>
  <c r="C11" i="47"/>
  <c r="F51" i="77"/>
  <c r="C20" i="36"/>
  <c r="F51" i="78"/>
  <c r="G45" i="77"/>
  <c r="C20" i="74"/>
  <c r="G36" i="77"/>
  <c r="H46"/>
  <c r="G37" i="78"/>
  <c r="G47"/>
  <c r="G38" i="77"/>
  <c r="G51"/>
  <c r="C21" i="36"/>
  <c r="E24" i="74"/>
  <c r="C17" i="47"/>
  <c r="E23" i="24"/>
  <c r="D31"/>
  <c r="D27"/>
  <c r="E55"/>
  <c r="C29"/>
  <c r="C49"/>
  <c r="E50"/>
  <c r="E43"/>
  <c r="E52"/>
  <c r="E40"/>
  <c r="E21"/>
  <c r="C58"/>
  <c r="E47"/>
  <c r="E42"/>
  <c r="D54"/>
  <c r="D34"/>
  <c r="C17"/>
  <c r="C37"/>
  <c r="E38"/>
  <c r="D46"/>
  <c r="D51"/>
  <c r="C43"/>
  <c r="E7"/>
  <c r="D37"/>
  <c r="E20"/>
  <c r="C55"/>
  <c r="D24"/>
  <c r="C33"/>
  <c r="D40"/>
  <c r="C8"/>
  <c r="X18" i="80"/>
  <c r="X12"/>
  <c r="M56" i="73"/>
  <c r="AD11"/>
  <c r="E24" i="54"/>
  <c r="U59" i="73"/>
  <c r="F14" i="76"/>
  <c r="L20" i="73"/>
  <c r="P54"/>
  <c r="C17" i="23"/>
  <c r="L38" i="52"/>
  <c r="J12" i="73"/>
  <c r="Q60"/>
  <c r="F7" i="76"/>
  <c r="G64" i="73"/>
  <c r="K16"/>
  <c r="J59"/>
  <c r="J44" i="37"/>
  <c r="K59" i="73"/>
  <c r="AC17"/>
  <c r="U61"/>
  <c r="I6"/>
  <c r="H56"/>
  <c r="M58" i="68"/>
  <c r="K17" i="73"/>
  <c r="I15"/>
  <c r="C12" i="54"/>
  <c r="N66" i="73"/>
  <c r="M8" i="37"/>
  <c r="C31" i="54"/>
  <c r="W62" i="73"/>
  <c r="C23" i="23"/>
  <c r="R15" i="56"/>
  <c r="F20" i="76"/>
  <c r="D169" i="40"/>
  <c r="E169" s="1"/>
  <c r="M11" i="37"/>
  <c r="Q58" i="73"/>
  <c r="L15"/>
  <c r="V63"/>
  <c r="D11" i="54"/>
  <c r="AE13" i="73"/>
  <c r="E9" i="76"/>
  <c r="C19" i="54"/>
  <c r="H53" i="73"/>
  <c r="E19" i="54"/>
  <c r="E22" i="51"/>
  <c r="L57" i="73"/>
  <c r="F30" i="54"/>
  <c r="E34" i="35"/>
  <c r="R56" i="73"/>
  <c r="K19"/>
  <c r="E45" i="35"/>
  <c r="K53" i="73"/>
  <c r="Q65"/>
  <c r="P56"/>
  <c r="L39" i="52"/>
  <c r="X11" i="80"/>
  <c r="E44" i="76"/>
  <c r="I66" i="73"/>
  <c r="H4"/>
  <c r="M55"/>
  <c r="AF6"/>
  <c r="G19" i="40"/>
  <c r="AG7" i="73"/>
  <c r="F19" i="54"/>
  <c r="G121" i="40"/>
  <c r="V58" i="73"/>
  <c r="M76" i="52"/>
  <c r="I56" i="73"/>
  <c r="AD10"/>
  <c r="C8" i="23"/>
  <c r="Q59" i="73"/>
  <c r="F38" i="76"/>
  <c r="H58" i="73"/>
  <c r="U54"/>
  <c r="AD4"/>
  <c r="M57"/>
  <c r="AF15"/>
  <c r="L35" i="58"/>
  <c r="J14" i="73"/>
  <c r="J53"/>
  <c r="G63"/>
  <c r="L19"/>
  <c r="N67"/>
  <c r="I9"/>
  <c r="J62"/>
  <c r="J8" i="37"/>
  <c r="J19" i="73"/>
  <c r="G38" i="35"/>
  <c r="I25" i="37"/>
  <c r="E23" i="54"/>
  <c r="K60" i="73"/>
  <c r="K55" i="60"/>
  <c r="M12" i="37"/>
  <c r="E25" i="35"/>
  <c r="AC14" i="73"/>
  <c r="E175" i="40"/>
  <c r="E178"/>
  <c r="L6" i="73"/>
  <c r="E11" i="51"/>
  <c r="G29" i="35"/>
  <c r="G33"/>
  <c r="E168" i="40"/>
  <c r="AD13" i="73"/>
  <c r="W54"/>
  <c r="R16" i="56"/>
  <c r="H62" i="73"/>
  <c r="C16" i="54"/>
  <c r="R68" i="73"/>
  <c r="H55"/>
  <c r="E15" i="54"/>
  <c r="L67" i="73"/>
  <c r="C25" i="54"/>
  <c r="G126" i="40"/>
  <c r="E165"/>
  <c r="E27" i="35"/>
  <c r="F42"/>
  <c r="E33"/>
  <c r="K20" i="37"/>
  <c r="F28" i="35"/>
  <c r="G35" i="78"/>
  <c r="C24" i="36"/>
  <c r="H38" i="77"/>
  <c r="E17" i="74"/>
  <c r="H45" i="78"/>
  <c r="G46"/>
  <c r="H49"/>
  <c r="H37" i="77"/>
  <c r="H46" i="78"/>
  <c r="C26" i="36"/>
  <c r="C28"/>
  <c r="C27"/>
  <c r="E25" i="74"/>
  <c r="C19" i="47"/>
  <c r="C27" i="74"/>
  <c r="G38" i="78"/>
  <c r="C16" i="47"/>
  <c r="H51" i="77"/>
  <c r="F47" i="78"/>
  <c r="F49"/>
  <c r="G36"/>
  <c r="F33" i="77"/>
  <c r="C41" i="24"/>
  <c r="D53"/>
  <c r="D29"/>
  <c r="E29"/>
  <c r="E19"/>
  <c r="D52"/>
  <c r="C52"/>
  <c r="C39"/>
  <c r="C59"/>
  <c r="C56"/>
  <c r="C60"/>
  <c r="D23"/>
  <c r="E54"/>
  <c r="C28"/>
  <c r="D38"/>
  <c r="C51"/>
  <c r="E18"/>
  <c r="C48"/>
  <c r="C18"/>
  <c r="E56"/>
  <c r="E26"/>
  <c r="D39"/>
  <c r="C19"/>
  <c r="D22"/>
  <c r="D25"/>
  <c r="E37"/>
  <c r="E17"/>
  <c r="C35"/>
  <c r="F49" i="77"/>
  <c r="X19" i="80"/>
  <c r="X36"/>
  <c r="F35" i="76"/>
  <c r="O63" i="73"/>
  <c r="L13"/>
  <c r="S52"/>
  <c r="W66"/>
  <c r="R63"/>
  <c r="R14" i="56"/>
  <c r="L25" i="37"/>
  <c r="AG10" i="73"/>
  <c r="D15" i="54"/>
  <c r="G6" i="35"/>
  <c r="C21" i="54"/>
  <c r="O53" i="73"/>
  <c r="S67"/>
  <c r="W56"/>
  <c r="AF13"/>
  <c r="L52"/>
  <c r="I52"/>
  <c r="M66"/>
  <c r="S54"/>
  <c r="W68"/>
  <c r="C18" i="23"/>
  <c r="AG17" i="73"/>
  <c r="D13" i="54"/>
  <c r="F10" i="76"/>
  <c r="M52" i="73"/>
  <c r="K68"/>
  <c r="V55"/>
  <c r="D27" i="54"/>
  <c r="P61" i="73"/>
  <c r="E25" i="76"/>
  <c r="D34" i="54"/>
  <c r="AE10" i="73"/>
  <c r="F27" i="35"/>
  <c r="M68" i="73"/>
  <c r="T58"/>
  <c r="C11" i="61"/>
  <c r="F10" i="54"/>
  <c r="V60" i="73"/>
  <c r="F41" i="76"/>
  <c r="K102" i="60"/>
  <c r="F19" i="40"/>
  <c r="H6" i="73"/>
  <c r="N34" i="52"/>
  <c r="AE7" i="73"/>
  <c r="D10" i="54"/>
  <c r="G122" i="40"/>
  <c r="AC10" i="73"/>
  <c r="K76" i="52"/>
  <c r="F41" i="35"/>
  <c r="E32"/>
  <c r="V56" i="73"/>
  <c r="E10" i="51"/>
  <c r="O67" i="73"/>
  <c r="E34" i="76"/>
  <c r="H15" i="73"/>
  <c r="E17" i="54"/>
  <c r="R57" i="73"/>
  <c r="J18"/>
  <c r="D23" i="54"/>
  <c r="N39" i="52"/>
  <c r="L63" i="73"/>
  <c r="C29" i="54"/>
  <c r="E41" i="76"/>
  <c r="T63" i="73"/>
  <c r="D26" i="54"/>
  <c r="I12" i="37"/>
  <c r="AE14" i="73"/>
  <c r="D12" i="54"/>
  <c r="L24" i="37"/>
  <c r="E42" i="35"/>
  <c r="L21" i="37"/>
  <c r="J20" i="73"/>
  <c r="AE18"/>
  <c r="G33" i="78"/>
  <c r="F48" i="77"/>
  <c r="H35" i="78"/>
  <c r="C17" i="74"/>
  <c r="H50" i="77"/>
  <c r="C18" i="36"/>
  <c r="H38" i="78"/>
  <c r="C25" i="36"/>
  <c r="H33" i="78"/>
  <c r="C25" i="74"/>
  <c r="E26"/>
  <c r="E49" i="24"/>
  <c r="D30"/>
  <c r="E36"/>
  <c r="C30"/>
  <c r="C47"/>
  <c r="C46"/>
  <c r="E35"/>
  <c r="E32"/>
  <c r="C14" i="47"/>
  <c r="D10" i="24"/>
  <c r="C61"/>
  <c r="E34"/>
  <c r="D17"/>
  <c r="C21"/>
  <c r="C27"/>
  <c r="E25"/>
  <c r="AG8" i="73"/>
  <c r="E11" i="54"/>
  <c r="F12" i="76"/>
  <c r="C15" i="23"/>
  <c r="F45" i="35"/>
  <c r="E23" i="74"/>
  <c r="F35" i="77"/>
  <c r="C18" i="74"/>
  <c r="F48" i="78"/>
  <c r="E28" i="74"/>
  <c r="F45" i="77"/>
  <c r="H35"/>
  <c r="C13" i="47"/>
  <c r="E53" i="37"/>
  <c r="C50" i="24"/>
  <c r="D49" i="38"/>
  <c r="F18" i="54"/>
  <c r="P55" i="73"/>
  <c r="E43" i="35"/>
  <c r="F28" i="76"/>
  <c r="G44" i="35"/>
  <c r="H47" i="78"/>
  <c r="C23" i="74"/>
  <c r="G47" i="77"/>
  <c r="H37" i="78"/>
  <c r="F46" i="77"/>
  <c r="G48"/>
  <c r="E21" i="74"/>
  <c r="H45" i="77"/>
  <c r="C24" i="74"/>
  <c r="F35" i="78"/>
  <c r="C36" i="24"/>
  <c r="D36"/>
  <c r="E33"/>
  <c r="D20"/>
  <c r="C34"/>
  <c r="E41"/>
  <c r="C42"/>
  <c r="D45"/>
  <c r="D43"/>
  <c r="C54"/>
  <c r="E44"/>
  <c r="E28"/>
  <c r="C26"/>
  <c r="C22"/>
  <c r="D33"/>
  <c r="P67" i="73"/>
  <c r="K64" i="52"/>
  <c r="AE16" i="73"/>
  <c r="G27" i="35"/>
  <c r="G33" i="77"/>
  <c r="C28" i="74"/>
  <c r="H48" i="77"/>
  <c r="F38" i="78"/>
  <c r="H36" i="77"/>
  <c r="F33" i="78"/>
  <c r="C22" i="36"/>
  <c r="H47" i="77"/>
  <c r="F50"/>
  <c r="F37" i="78"/>
  <c r="C44" i="24"/>
  <c r="E46"/>
  <c r="D49"/>
  <c r="C25"/>
  <c r="D42"/>
  <c r="D41"/>
  <c r="D48"/>
  <c r="C23"/>
  <c r="D44"/>
  <c r="D26"/>
  <c r="D71" i="45"/>
  <c r="C53" i="24"/>
  <c r="E53"/>
  <c r="D55"/>
  <c r="C40"/>
  <c r="F38" i="77"/>
  <c r="G35"/>
  <c r="E20" i="74"/>
  <c r="H48" i="78"/>
  <c r="E18" i="74"/>
  <c r="C38" i="24"/>
  <c r="D47"/>
  <c r="E51"/>
  <c r="E48"/>
  <c r="D8"/>
  <c r="E45"/>
  <c r="C10"/>
  <c r="D35"/>
  <c r="E31"/>
  <c r="E22"/>
  <c r="D18"/>
  <c r="N39" i="49" l="1"/>
  <c r="E39" s="1"/>
  <c r="N40" i="53"/>
  <c r="P12" i="37"/>
  <c r="D12" s="1"/>
  <c r="N39" i="53"/>
  <c r="G41" i="76"/>
  <c r="G34"/>
  <c r="N43" i="53"/>
  <c r="C41" s="1"/>
  <c r="G25" i="76"/>
  <c r="N42" i="49"/>
  <c r="C37" s="1"/>
  <c r="O34" i="36"/>
  <c r="K8" i="75"/>
  <c r="G16" i="35"/>
  <c r="C11" s="1"/>
  <c r="C12" s="1"/>
  <c r="C9" s="1"/>
  <c r="R10" i="80"/>
  <c r="T10" s="1"/>
  <c r="R31"/>
  <c r="T31" s="1"/>
  <c r="G165" i="40"/>
  <c r="B165" s="1"/>
  <c r="M36" i="52"/>
  <c r="O36"/>
  <c r="P36" s="1"/>
  <c r="N47" i="53"/>
  <c r="K13" i="75"/>
  <c r="G178" i="40"/>
  <c r="G175"/>
  <c r="E41" i="50"/>
  <c r="O25" i="37"/>
  <c r="C25" s="1"/>
  <c r="G25"/>
  <c r="M39" i="52"/>
  <c r="O39" s="1"/>
  <c r="P39" s="1"/>
  <c r="L76"/>
  <c r="N76" s="1"/>
  <c r="O76" s="1"/>
  <c r="K6" i="75"/>
  <c r="K8" i="37"/>
  <c r="N44" i="49"/>
  <c r="C42" s="1"/>
  <c r="T36" i="58"/>
  <c r="F26" i="70"/>
  <c r="H122" i="40"/>
  <c r="G44" i="76"/>
  <c r="R14" i="80"/>
  <c r="T14" s="1"/>
  <c r="R12"/>
  <c r="T12" s="1"/>
  <c r="R34"/>
  <c r="T34" s="1"/>
  <c r="R29"/>
  <c r="T29" s="1"/>
  <c r="K7" i="75"/>
  <c r="G9" i="76"/>
  <c r="E30" i="50"/>
  <c r="E23"/>
  <c r="L64" i="52"/>
  <c r="N64" s="1"/>
  <c r="O64" s="1"/>
  <c r="K66" i="67"/>
  <c r="K68" s="1"/>
  <c r="K70" s="1"/>
  <c r="K75" s="1"/>
  <c r="K80" s="1"/>
  <c r="O14" i="56"/>
  <c r="N43" i="49"/>
  <c r="C41" s="1"/>
  <c r="R8" i="80"/>
  <c r="T8" s="1"/>
  <c r="R32"/>
  <c r="T32" s="1"/>
  <c r="R26"/>
  <c r="T26" s="1"/>
  <c r="E30" i="39"/>
  <c r="E24"/>
  <c r="E18"/>
  <c r="G37" i="76"/>
  <c r="M50" i="53"/>
  <c r="N46" i="37"/>
  <c r="C46" s="1"/>
  <c r="F10" i="70"/>
  <c r="C21" i="23"/>
  <c r="M52" i="49"/>
  <c r="G20" i="76"/>
  <c r="G17"/>
  <c r="N41" i="49"/>
  <c r="G18" i="76"/>
  <c r="O45" i="37"/>
  <c r="G14" i="76"/>
  <c r="H115" i="40"/>
  <c r="K4" i="75"/>
  <c r="G13"/>
  <c r="L4"/>
  <c r="F46" i="70"/>
  <c r="P10" i="37"/>
  <c r="D10" s="1"/>
  <c r="N37" i="53"/>
  <c r="E37" s="1"/>
  <c r="C10" i="34"/>
  <c r="O46" i="37"/>
  <c r="M50" i="49"/>
  <c r="N52" s="1"/>
  <c r="P64" i="60"/>
  <c r="P68" s="1"/>
  <c r="H126" i="40"/>
  <c r="AI16" i="53"/>
  <c r="N47" i="49"/>
  <c r="F36" s="1"/>
  <c r="F43" s="1"/>
  <c r="H22" i="37"/>
  <c r="O22" s="1"/>
  <c r="C22" s="1"/>
  <c r="M60" i="68"/>
  <c r="N46" i="53"/>
  <c r="O17" i="56"/>
  <c r="S17" s="1"/>
  <c r="T17" s="1"/>
  <c r="X17" s="1"/>
  <c r="L65" i="52"/>
  <c r="N65" s="1"/>
  <c r="O65" s="1"/>
  <c r="O44" i="37"/>
  <c r="G21" i="76"/>
  <c r="H23" i="37"/>
  <c r="O23" s="1"/>
  <c r="C23" s="1"/>
  <c r="P8"/>
  <c r="D8" s="1"/>
  <c r="E40" i="50"/>
  <c r="E22"/>
  <c r="E29"/>
  <c r="N22" i="53"/>
  <c r="G30" i="76"/>
  <c r="G162" i="40"/>
  <c r="G31" i="76"/>
  <c r="G8"/>
  <c r="M38" i="52"/>
  <c r="O38" s="1"/>
  <c r="P38" s="1"/>
  <c r="R11" i="80"/>
  <c r="T11" s="1"/>
  <c r="R23"/>
  <c r="T23" s="1"/>
  <c r="R18"/>
  <c r="T18" s="1"/>
  <c r="R24"/>
  <c r="T24" s="1"/>
  <c r="G33" i="76"/>
  <c r="H21" i="37"/>
  <c r="O21" s="1"/>
  <c r="C21" s="1"/>
  <c r="N37" i="49"/>
  <c r="E37" s="1"/>
  <c r="K9" i="37"/>
  <c r="G11" i="76"/>
  <c r="N36" i="49"/>
  <c r="O20" i="37"/>
  <c r="C20" s="1"/>
  <c r="G20"/>
  <c r="K12"/>
  <c r="K10"/>
  <c r="G37" i="54"/>
  <c r="D31" i="38"/>
  <c r="D32" s="1"/>
  <c r="D35" s="1"/>
  <c r="N40" i="49"/>
  <c r="E41" s="1"/>
  <c r="AE101" i="60"/>
  <c r="AE110" s="1"/>
  <c r="G23" i="76"/>
  <c r="G181" i="40"/>
  <c r="B181" s="1"/>
  <c r="H124"/>
  <c r="M34" i="52"/>
  <c r="O34" s="1"/>
  <c r="P34" s="1"/>
  <c r="F25" i="70"/>
  <c r="O35" i="36"/>
  <c r="G32" i="76"/>
  <c r="G19"/>
  <c r="P9" i="37"/>
  <c r="D9" s="1"/>
  <c r="M25" i="68"/>
  <c r="M20"/>
  <c r="G42" i="76"/>
  <c r="R13" i="80"/>
  <c r="T13" s="1"/>
  <c r="R19"/>
  <c r="T19" s="1"/>
  <c r="R21"/>
  <c r="T21" s="1"/>
  <c r="R20"/>
  <c r="T20" s="1"/>
  <c r="K11" i="37"/>
  <c r="N45"/>
  <c r="C45" s="1"/>
  <c r="G53" s="1"/>
  <c r="M52" i="53"/>
  <c r="F95" i="40"/>
  <c r="G43" i="76"/>
  <c r="N36" i="53"/>
  <c r="C13" i="35"/>
  <c r="E16" i="72"/>
  <c r="L77" i="52"/>
  <c r="N77" s="1"/>
  <c r="O77" s="1"/>
  <c r="L46" i="68"/>
  <c r="L47" s="1"/>
  <c r="D71" i="77"/>
  <c r="N42" i="53"/>
  <c r="C37" s="1"/>
  <c r="G15" i="76"/>
  <c r="W74" i="73"/>
  <c r="W73"/>
  <c r="N22" i="49"/>
  <c r="J46" i="68"/>
  <c r="D15" i="40"/>
  <c r="G22" i="76"/>
  <c r="G24"/>
  <c r="O67" i="59"/>
  <c r="O71" s="1"/>
  <c r="G13" i="76"/>
  <c r="O24" i="37"/>
  <c r="C24" s="1"/>
  <c r="G24"/>
  <c r="N41" i="53"/>
  <c r="G7" i="76"/>
  <c r="O34" i="74"/>
  <c r="G10" i="76"/>
  <c r="O35" i="74"/>
  <c r="G12" i="76"/>
  <c r="R9" i="80"/>
  <c r="T9" s="1"/>
  <c r="R33"/>
  <c r="T33" s="1"/>
  <c r="R35"/>
  <c r="T35" s="1"/>
  <c r="R36"/>
  <c r="T36" s="1"/>
  <c r="R30"/>
  <c r="T30" s="1"/>
  <c r="R25"/>
  <c r="T25" s="1"/>
  <c r="R27"/>
  <c r="T27" s="1"/>
  <c r="G36" i="76"/>
  <c r="N44" i="53"/>
  <c r="C42" s="1"/>
  <c r="N46" i="49"/>
  <c r="D40" s="1"/>
  <c r="D43" s="1"/>
  <c r="F47" i="70"/>
  <c r="L91" i="52"/>
  <c r="N91" s="1"/>
  <c r="O91" s="1"/>
  <c r="F11" i="70"/>
  <c r="N14" i="78"/>
  <c r="C10" i="35"/>
  <c r="C16" i="61"/>
  <c r="C17" s="1"/>
  <c r="C12"/>
  <c r="G29" i="76"/>
  <c r="N44" i="37"/>
  <c r="C44" s="1"/>
  <c r="C48" s="1"/>
  <c r="P11"/>
  <c r="D11" s="1"/>
  <c r="G35" i="76"/>
  <c r="K5" i="75"/>
  <c r="G16" i="76"/>
  <c r="N14" i="77"/>
  <c r="K17" s="1"/>
  <c r="G38" i="76"/>
  <c r="G40"/>
  <c r="G27"/>
  <c r="E23" i="39"/>
  <c r="E17"/>
  <c r="E29"/>
  <c r="G39" i="76"/>
  <c r="R82" i="71"/>
  <c r="G26" i="76"/>
  <c r="R81" i="71"/>
  <c r="R83" s="1"/>
  <c r="G28" i="76"/>
  <c r="R16" i="80"/>
  <c r="T16" s="1"/>
  <c r="R15"/>
  <c r="T15" s="1"/>
  <c r="R37"/>
  <c r="T37" s="1"/>
  <c r="R22"/>
  <c r="T22" s="1"/>
  <c r="J89" i="71"/>
  <c r="AI53" i="53"/>
  <c r="AN46"/>
  <c r="AN49" s="1"/>
  <c r="C35" i="35"/>
  <c r="N72" i="71"/>
  <c r="J72"/>
  <c r="C52" i="40"/>
  <c r="B53"/>
  <c r="O15" i="56"/>
  <c r="S15" s="1"/>
  <c r="T15" s="1"/>
  <c r="X15" s="1"/>
  <c r="E21" i="45"/>
  <c r="C46" i="35"/>
  <c r="I29" i="69"/>
  <c r="H29"/>
  <c r="J29" s="1"/>
  <c r="H40" i="34"/>
  <c r="L40" s="1"/>
  <c r="I40" s="1"/>
  <c r="J40" s="1"/>
  <c r="K40" s="1"/>
  <c r="M40" s="1"/>
  <c r="C41"/>
  <c r="H27"/>
  <c r="L27" s="1"/>
  <c r="I27" s="1"/>
  <c r="J27" s="1"/>
  <c r="K27" s="1"/>
  <c r="M27" s="1"/>
  <c r="C28"/>
  <c r="K26" i="68"/>
  <c r="L26" s="1"/>
  <c r="M26" s="1"/>
  <c r="K21"/>
  <c r="L21" s="1"/>
  <c r="M21" s="1"/>
  <c r="M22" s="1"/>
  <c r="C12" i="34"/>
  <c r="C9" s="1"/>
  <c r="O16" i="56"/>
  <c r="W16" s="1"/>
  <c r="G26" i="58"/>
  <c r="N24" i="67"/>
  <c r="G168" i="40"/>
  <c r="B168" s="1"/>
  <c r="C64" i="53"/>
  <c r="G18" i="40"/>
  <c r="F18"/>
  <c r="M39" i="34"/>
  <c r="L25"/>
  <c r="I25" s="1"/>
  <c r="J25" s="1"/>
  <c r="K25" s="1"/>
  <c r="M25" s="1"/>
  <c r="H28"/>
  <c r="L28" s="1"/>
  <c r="I28" s="1"/>
  <c r="J28" s="1"/>
  <c r="K28" s="1"/>
  <c r="T42" i="58"/>
  <c r="T49" s="1"/>
  <c r="W29" i="80"/>
  <c r="K108" i="60"/>
  <c r="J108" s="1"/>
  <c r="AE108" s="1"/>
  <c r="R108"/>
  <c r="L39" i="34"/>
  <c r="I39" s="1"/>
  <c r="J39" s="1"/>
  <c r="K39" s="1"/>
  <c r="D50" i="38"/>
  <c r="D53" s="1"/>
  <c r="I107" i="59"/>
  <c r="O10" i="36"/>
  <c r="W33" i="80"/>
  <c r="F34" i="77"/>
  <c r="E11" i="74"/>
  <c r="G30" i="77"/>
  <c r="F30" i="78"/>
  <c r="C24" i="47"/>
  <c r="H34" i="78"/>
  <c r="D84" i="70"/>
  <c r="H36" i="56"/>
  <c r="H38"/>
  <c r="H39" s="1"/>
  <c r="H40" s="1"/>
  <c r="C78" i="36"/>
  <c r="C78" i="74"/>
  <c r="F34" i="78"/>
  <c r="F30" i="77"/>
  <c r="C10" i="74"/>
  <c r="C29" i="36"/>
  <c r="C11"/>
  <c r="E26"/>
  <c r="G30" i="78"/>
  <c r="E78" i="70"/>
  <c r="G38" i="56"/>
  <c r="G39" s="1"/>
  <c r="G40" s="1"/>
  <c r="G36"/>
  <c r="F36"/>
  <c r="F38"/>
  <c r="F39" s="1"/>
  <c r="F40" s="1"/>
  <c r="H34" i="77"/>
  <c r="C10" i="36"/>
  <c r="G18" i="74"/>
  <c r="H18" s="1"/>
  <c r="G34" i="77"/>
  <c r="E36" i="56"/>
  <c r="E38"/>
  <c r="E39" s="1"/>
  <c r="E40" s="1"/>
  <c r="C29" i="74"/>
  <c r="H30" i="78"/>
  <c r="G34"/>
  <c r="E29" i="74"/>
  <c r="H30" i="77"/>
  <c r="Q16" i="56"/>
  <c r="C11" i="74"/>
  <c r="H17" i="24"/>
  <c r="D72" i="45"/>
  <c r="F53" i="37"/>
  <c r="C33" i="41"/>
  <c r="C34" s="1"/>
  <c r="G7" i="23"/>
  <c r="D22" i="40"/>
  <c r="D23" s="1"/>
  <c r="D69" i="78"/>
  <c r="P15" i="56"/>
  <c r="P16"/>
  <c r="G35" i="35"/>
  <c r="E35"/>
  <c r="F35"/>
  <c r="F46"/>
  <c r="G46"/>
  <c r="E46"/>
  <c r="D95" i="40"/>
  <c r="E95" s="1"/>
  <c r="G22"/>
  <c r="G23" s="1"/>
  <c r="F22"/>
  <c r="F23" s="1"/>
  <c r="D71" i="78"/>
  <c r="Q15" i="56" l="1"/>
  <c r="W15"/>
  <c r="Y15" s="1"/>
  <c r="F28" i="70"/>
  <c r="F30" s="1"/>
  <c r="F31" s="1"/>
  <c r="O37" i="74"/>
  <c r="O39" s="1"/>
  <c r="O40" s="1"/>
  <c r="M27" i="68"/>
  <c r="F79" i="78"/>
  <c r="G79" s="1"/>
  <c r="F24" i="40"/>
  <c r="F27" s="1"/>
  <c r="G24"/>
  <c r="G27" s="1"/>
  <c r="D97"/>
  <c r="D101" s="1"/>
  <c r="D103" s="1"/>
  <c r="D70" i="78"/>
  <c r="D24" i="40"/>
  <c r="Q38" i="52"/>
  <c r="R38"/>
  <c r="Q39"/>
  <c r="R39"/>
  <c r="Q34"/>
  <c r="R34"/>
  <c r="Q77"/>
  <c r="P77"/>
  <c r="Q65"/>
  <c r="P65"/>
  <c r="Q91"/>
  <c r="P91"/>
  <c r="H43" i="35"/>
  <c r="L43" s="1"/>
  <c r="I43" s="1"/>
  <c r="J43" s="1"/>
  <c r="K43" s="1"/>
  <c r="M43" s="1"/>
  <c r="H44"/>
  <c r="L44" s="1"/>
  <c r="I44" s="1"/>
  <c r="J44" s="1"/>
  <c r="K44" s="1"/>
  <c r="M44" s="1"/>
  <c r="H35"/>
  <c r="L35" s="1"/>
  <c r="I35" s="1"/>
  <c r="J35" s="1"/>
  <c r="K35" s="1"/>
  <c r="H32"/>
  <c r="L32" s="1"/>
  <c r="I32" s="1"/>
  <c r="J32" s="1"/>
  <c r="K32" s="1"/>
  <c r="M32" s="1"/>
  <c r="H46"/>
  <c r="L46" s="1"/>
  <c r="I46" s="1"/>
  <c r="J46" s="1"/>
  <c r="K46" s="1"/>
  <c r="M46" s="1"/>
  <c r="H25"/>
  <c r="L25" s="1"/>
  <c r="I25" s="1"/>
  <c r="J25" s="1"/>
  <c r="K25" s="1"/>
  <c r="M25" s="1"/>
  <c r="H42"/>
  <c r="L42" s="1"/>
  <c r="I42" s="1"/>
  <c r="J42" s="1"/>
  <c r="K42" s="1"/>
  <c r="M42" s="1"/>
  <c r="H41"/>
  <c r="L41" s="1"/>
  <c r="I41" s="1"/>
  <c r="J41" s="1"/>
  <c r="K41" s="1"/>
  <c r="M41" s="1"/>
  <c r="H37"/>
  <c r="L37" s="1"/>
  <c r="I37" s="1"/>
  <c r="J37" s="1"/>
  <c r="K37" s="1"/>
  <c r="M37" s="1"/>
  <c r="H39"/>
  <c r="L39" s="1"/>
  <c r="I39" s="1"/>
  <c r="J39" s="1"/>
  <c r="K39" s="1"/>
  <c r="M39" s="1"/>
  <c r="H30"/>
  <c r="L30" s="1"/>
  <c r="I30" s="1"/>
  <c r="J30" s="1"/>
  <c r="K30" s="1"/>
  <c r="M30" s="1"/>
  <c r="H26"/>
  <c r="L26" s="1"/>
  <c r="I26" s="1"/>
  <c r="J26" s="1"/>
  <c r="K26" s="1"/>
  <c r="M26" s="1"/>
  <c r="H34"/>
  <c r="L34" s="1"/>
  <c r="I34" s="1"/>
  <c r="J34" s="1"/>
  <c r="K34" s="1"/>
  <c r="M34" s="1"/>
  <c r="H40"/>
  <c r="L40" s="1"/>
  <c r="I40" s="1"/>
  <c r="J40" s="1"/>
  <c r="K40" s="1"/>
  <c r="M40" s="1"/>
  <c r="H33"/>
  <c r="L33" s="1"/>
  <c r="I33" s="1"/>
  <c r="J33" s="1"/>
  <c r="K33" s="1"/>
  <c r="M33" s="1"/>
  <c r="H28"/>
  <c r="L28" s="1"/>
  <c r="I28" s="1"/>
  <c r="J28" s="1"/>
  <c r="K28" s="1"/>
  <c r="M28" s="1"/>
  <c r="H31"/>
  <c r="L31" s="1"/>
  <c r="I31" s="1"/>
  <c r="J31" s="1"/>
  <c r="K31" s="1"/>
  <c r="M31" s="1"/>
  <c r="H27"/>
  <c r="L27" s="1"/>
  <c r="I27" s="1"/>
  <c r="J27" s="1"/>
  <c r="K27" s="1"/>
  <c r="M27" s="1"/>
  <c r="H38"/>
  <c r="L38" s="1"/>
  <c r="I38" s="1"/>
  <c r="J38" s="1"/>
  <c r="K38" s="1"/>
  <c r="M38" s="1"/>
  <c r="H45"/>
  <c r="L45" s="1"/>
  <c r="I45" s="1"/>
  <c r="J45" s="1"/>
  <c r="K45" s="1"/>
  <c r="M45" s="1"/>
  <c r="H29"/>
  <c r="L29" s="1"/>
  <c r="I29" s="1"/>
  <c r="J29" s="1"/>
  <c r="K29" s="1"/>
  <c r="M29" s="1"/>
  <c r="U25" i="80"/>
  <c r="U27"/>
  <c r="U19"/>
  <c r="U22"/>
  <c r="U24"/>
  <c r="U26"/>
  <c r="U20"/>
  <c r="U23"/>
  <c r="U18"/>
  <c r="E36" i="49"/>
  <c r="U33" i="80"/>
  <c r="U31"/>
  <c r="U37"/>
  <c r="U29"/>
  <c r="U34"/>
  <c r="U30"/>
  <c r="U35"/>
  <c r="U36"/>
  <c r="S14" i="56"/>
  <c r="T14" s="1"/>
  <c r="X14" s="1"/>
  <c r="Q64" i="52"/>
  <c r="P64"/>
  <c r="Q36"/>
  <c r="R36"/>
  <c r="C29" i="34"/>
  <c r="M28"/>
  <c r="C47" i="35"/>
  <c r="M35"/>
  <c r="C36"/>
  <c r="F61" i="77"/>
  <c r="I71"/>
  <c r="I70" s="1"/>
  <c r="AI11" i="53"/>
  <c r="E57"/>
  <c r="E64" s="1"/>
  <c r="AI60"/>
  <c r="V117" s="1"/>
  <c r="P43" i="49"/>
  <c r="C36"/>
  <c r="C43" s="1"/>
  <c r="F13" i="70"/>
  <c r="F15" s="1"/>
  <c r="F16" s="1"/>
  <c r="S16" i="56"/>
  <c r="T16" s="1"/>
  <c r="X16" s="1"/>
  <c r="Y16" s="1"/>
  <c r="C27" i="37"/>
  <c r="F49" i="70"/>
  <c r="F51" s="1"/>
  <c r="F52" s="1"/>
  <c r="W14" i="56"/>
  <c r="O37" i="36"/>
  <c r="O39" s="1"/>
  <c r="O40" s="1"/>
  <c r="B54" i="40"/>
  <c r="C53"/>
  <c r="I17" i="77"/>
  <c r="J17"/>
  <c r="G17"/>
  <c r="H17"/>
  <c r="C14" i="61"/>
  <c r="C24" s="1"/>
  <c r="C25" s="1"/>
  <c r="C27" s="1"/>
  <c r="C28" s="1"/>
  <c r="C13"/>
  <c r="P22" i="49"/>
  <c r="E22"/>
  <c r="E27" s="1"/>
  <c r="N38"/>
  <c r="E38" s="1"/>
  <c r="U32" i="80"/>
  <c r="U8"/>
  <c r="U15"/>
  <c r="U13"/>
  <c r="U11"/>
  <c r="U10"/>
  <c r="U16"/>
  <c r="U12"/>
  <c r="U9"/>
  <c r="U21"/>
  <c r="U14"/>
  <c r="Q17" i="56"/>
  <c r="Q76" i="52"/>
  <c r="P76"/>
  <c r="H41" i="34"/>
  <c r="L41" s="1"/>
  <c r="I41" s="1"/>
  <c r="J41" s="1"/>
  <c r="K41" s="1"/>
  <c r="M41" s="1"/>
  <c r="C42"/>
  <c r="H17" i="78"/>
  <c r="I17"/>
  <c r="J17"/>
  <c r="K17"/>
  <c r="G17"/>
  <c r="P43" i="53"/>
  <c r="C36"/>
  <c r="C43" s="1"/>
  <c r="J47" i="68"/>
  <c r="M64"/>
  <c r="O64" s="1"/>
  <c r="O66" s="1"/>
  <c r="E36" i="53"/>
  <c r="Q36"/>
  <c r="R36" s="1"/>
  <c r="N38"/>
  <c r="E38" s="1"/>
  <c r="E22"/>
  <c r="E27" s="1"/>
  <c r="P22"/>
  <c r="J36" i="75"/>
  <c r="J27"/>
  <c r="N52" i="53"/>
  <c r="Y11" i="80"/>
  <c r="W17" i="56"/>
  <c r="Y17" s="1"/>
  <c r="Q14"/>
  <c r="B178" i="40"/>
  <c r="H44" i="77"/>
  <c r="H31"/>
  <c r="G31" i="78"/>
  <c r="G44"/>
  <c r="G44" i="77"/>
  <c r="G31"/>
  <c r="F44"/>
  <c r="F31"/>
  <c r="H31" i="78"/>
  <c r="H44"/>
  <c r="F31"/>
  <c r="F44"/>
  <c r="D85" i="70"/>
  <c r="E84"/>
  <c r="D25" i="40"/>
  <c r="D27"/>
  <c r="D109"/>
  <c r="J29" i="75"/>
  <c r="J38"/>
  <c r="F47" i="35"/>
  <c r="G47"/>
  <c r="E47"/>
  <c r="E36"/>
  <c r="G36"/>
  <c r="F36"/>
  <c r="P17" i="56"/>
  <c r="P14"/>
  <c r="I69" i="77"/>
  <c r="D105" i="40"/>
  <c r="P38" i="49" l="1"/>
  <c r="M27" i="75"/>
  <c r="E43" i="53"/>
  <c r="E43" i="49"/>
  <c r="P38" i="53"/>
  <c r="V70" i="52"/>
  <c r="W72" s="1"/>
  <c r="H36" i="35"/>
  <c r="L36" s="1"/>
  <c r="I36" s="1"/>
  <c r="J36" s="1"/>
  <c r="K36" s="1"/>
  <c r="H47"/>
  <c r="L47" s="1"/>
  <c r="I47" s="1"/>
  <c r="J47" s="1"/>
  <c r="K47" s="1"/>
  <c r="G80" i="78"/>
  <c r="I80" s="1"/>
  <c r="I79"/>
  <c r="W14" i="80"/>
  <c r="W15"/>
  <c r="W10"/>
  <c r="W8"/>
  <c r="W9"/>
  <c r="W16"/>
  <c r="W12"/>
  <c r="W13"/>
  <c r="J50" i="75"/>
  <c r="M36"/>
  <c r="C43" i="34"/>
  <c r="H42"/>
  <c r="L42" s="1"/>
  <c r="I42" s="1"/>
  <c r="J42" s="1"/>
  <c r="K42" s="1"/>
  <c r="M42" s="1"/>
  <c r="B55" i="40"/>
  <c r="C54"/>
  <c r="Y14" i="56"/>
  <c r="M36" i="35"/>
  <c r="F61" i="78"/>
  <c r="I70"/>
  <c r="I69" s="1"/>
  <c r="M47" i="35"/>
  <c r="O63" i="68"/>
  <c r="O67"/>
  <c r="M66"/>
  <c r="M67" s="1"/>
  <c r="C30" i="34"/>
  <c r="M29"/>
  <c r="H29"/>
  <c r="L29" s="1"/>
  <c r="I29" s="1"/>
  <c r="J29" s="1"/>
  <c r="K29" s="1"/>
  <c r="D26" i="40"/>
  <c r="D28"/>
  <c r="D29" s="1"/>
  <c r="D30" s="1"/>
  <c r="M38" i="75"/>
  <c r="M29"/>
  <c r="I68" i="78"/>
  <c r="O27" i="75" l="1"/>
  <c r="O36"/>
  <c r="O62" i="68"/>
  <c r="M63"/>
  <c r="M62" s="1"/>
  <c r="C55" i="40"/>
  <c r="B56"/>
  <c r="M43" i="34"/>
  <c r="H43"/>
  <c r="L43" s="1"/>
  <c r="I43" s="1"/>
  <c r="J43" s="1"/>
  <c r="K43" s="1"/>
  <c r="C44"/>
  <c r="M30"/>
  <c r="C31"/>
  <c r="H30"/>
  <c r="L30" s="1"/>
  <c r="I30" s="1"/>
  <c r="J30" s="1"/>
  <c r="K30" s="1"/>
  <c r="F25" i="40"/>
  <c r="F28" s="1"/>
  <c r="F29" s="1"/>
  <c r="G25"/>
  <c r="G28" s="1"/>
  <c r="G29" s="1"/>
  <c r="C45" i="34" l="1"/>
  <c r="H44"/>
  <c r="L44" s="1"/>
  <c r="I44" s="1"/>
  <c r="J44" s="1"/>
  <c r="K44" s="1"/>
  <c r="M44" s="1"/>
  <c r="C56" i="40"/>
  <c r="B57"/>
  <c r="C32" i="34"/>
  <c r="H31"/>
  <c r="L31" s="1"/>
  <c r="I31" s="1"/>
  <c r="J31" s="1"/>
  <c r="K31" s="1"/>
  <c r="M31" s="1"/>
  <c r="F30" i="40"/>
  <c r="F14"/>
  <c r="G14"/>
  <c r="G30"/>
  <c r="F13"/>
  <c r="G13"/>
  <c r="B58" l="1"/>
  <c r="C57"/>
  <c r="C46" i="34"/>
  <c r="H45"/>
  <c r="L45" s="1"/>
  <c r="I45" s="1"/>
  <c r="J45" s="1"/>
  <c r="K45" s="1"/>
  <c r="M45" s="1"/>
  <c r="H32"/>
  <c r="L32" s="1"/>
  <c r="I32" s="1"/>
  <c r="J32" s="1"/>
  <c r="K32" s="1"/>
  <c r="M32" s="1"/>
  <c r="C33"/>
  <c r="F20" i="40"/>
  <c r="G20"/>
  <c r="G15" l="1"/>
  <c r="F15"/>
  <c r="H33" i="34"/>
  <c r="L33" s="1"/>
  <c r="I33" s="1"/>
  <c r="J33" s="1"/>
  <c r="K33" s="1"/>
  <c r="C34"/>
  <c r="M33"/>
  <c r="C47"/>
  <c r="H46"/>
  <c r="L46" s="1"/>
  <c r="I46" s="1"/>
  <c r="J46" s="1"/>
  <c r="K46" s="1"/>
  <c r="M46" s="1"/>
  <c r="C58" i="40"/>
  <c r="B59"/>
  <c r="B60" l="1"/>
  <c r="C59"/>
  <c r="H47" i="34"/>
  <c r="L47" s="1"/>
  <c r="I47" s="1"/>
  <c r="J47" s="1"/>
  <c r="K47" s="1"/>
  <c r="M47" s="1"/>
  <c r="C35"/>
  <c r="M34"/>
  <c r="H34"/>
  <c r="L34" s="1"/>
  <c r="I34" s="1"/>
  <c r="J34" s="1"/>
  <c r="K34" s="1"/>
  <c r="H35" l="1"/>
  <c r="L35" s="1"/>
  <c r="I35" s="1"/>
  <c r="J35" s="1"/>
  <c r="K35" s="1"/>
  <c r="M35" s="1"/>
  <c r="C36"/>
  <c r="B61" i="40"/>
  <c r="C60"/>
  <c r="H36" i="34" l="1"/>
  <c r="L36" s="1"/>
  <c r="I36" s="1"/>
  <c r="J36" s="1"/>
  <c r="K36" s="1"/>
  <c r="M36" s="1"/>
  <c r="C61" i="40"/>
  <c r="B62"/>
  <c r="C62" l="1"/>
  <c r="B63"/>
  <c r="C63" l="1"/>
  <c r="B64"/>
  <c r="B65" l="1"/>
  <c r="C64"/>
  <c r="B66" l="1"/>
  <c r="C65"/>
  <c r="C66" l="1"/>
  <c r="B67"/>
  <c r="C67" l="1"/>
  <c r="B68"/>
  <c r="B69" l="1"/>
  <c r="C68"/>
  <c r="B70" l="1"/>
  <c r="C69"/>
  <c r="C70" l="1"/>
  <c r="B71"/>
  <c r="C71" l="1"/>
  <c r="B72"/>
  <c r="B73" l="1"/>
  <c r="C72"/>
  <c r="B74" l="1"/>
  <c r="C73"/>
  <c r="C74" l="1"/>
  <c r="B75"/>
  <c r="C75" l="1"/>
  <c r="B76"/>
  <c r="B77" l="1"/>
  <c r="C76"/>
  <c r="B78" l="1"/>
  <c r="C77"/>
  <c r="C78" l="1"/>
  <c r="B79"/>
  <c r="C79" l="1"/>
  <c r="B80"/>
  <c r="B81" l="1"/>
  <c r="C81" s="1"/>
  <c r="C80"/>
</calcChain>
</file>

<file path=xl/comments1.xml><?xml version="1.0" encoding="utf-8"?>
<comments xmlns="http://schemas.openxmlformats.org/spreadsheetml/2006/main">
  <authors>
    <author>GEFI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Maximal speed for all the working conditions calculated in this sheet.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Minimal speed allowable.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Too high inlet temperature. For this counter pressure, the maximal inlet temperature is 57°C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Above the maximal allowable temperature.
</t>
        </r>
      </text>
    </comment>
    <comment ref="M21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Above the maximal alowable temperature.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GEFI:</t>
        </r>
        <r>
          <rPr>
            <sz val="8"/>
            <color indexed="81"/>
            <rFont val="Tahoma"/>
            <family val="2"/>
          </rPr>
          <t xml:space="preserve">
Maximal inlet temperature for this conter pressure.</t>
        </r>
      </text>
    </comment>
  </commentList>
</comments>
</file>

<file path=xl/comments2.xml><?xml version="1.0" encoding="utf-8"?>
<comments xmlns="http://schemas.openxmlformats.org/spreadsheetml/2006/main">
  <authors>
    <author>LOCAL</author>
  </authors>
  <commentList>
    <comment ref="M55" authorId="0">
      <text>
        <r>
          <rPr>
            <b/>
            <sz val="8"/>
            <color indexed="81"/>
            <rFont val="Tahoma"/>
            <family val="2"/>
          </rPr>
          <t>LOCAL:</t>
        </r>
        <r>
          <rPr>
            <sz val="8"/>
            <color indexed="81"/>
            <rFont val="Tahoma"/>
            <family val="2"/>
          </rPr>
          <t xml:space="preserve">
N'intervient pas dans le calcul</t>
        </r>
      </text>
    </comment>
  </commentList>
</comments>
</file>

<file path=xl/sharedStrings.xml><?xml version="1.0" encoding="utf-8"?>
<sst xmlns="http://schemas.openxmlformats.org/spreadsheetml/2006/main" count="2838" uniqueCount="1028">
  <si>
    <t>Liste des fluides disponibles</t>
  </si>
  <si>
    <t>Ammoniac</t>
  </si>
  <si>
    <t>C:\Program files\GaspakDemo5\NH379.gas</t>
  </si>
  <si>
    <t>Argon</t>
  </si>
  <si>
    <t>C:\Program files\GaspakDemo5\ARGON83.gas</t>
  </si>
  <si>
    <t>Azote</t>
  </si>
  <si>
    <t>C:\Program files\GaspakDemo5\N273.gas</t>
  </si>
  <si>
    <t>C:\Program files\GaspakDemo5\N286.gas</t>
  </si>
  <si>
    <t>Butane Normal</t>
  </si>
  <si>
    <t>C:\Program files\GaspakDemo5\NORB86.gas</t>
  </si>
  <si>
    <t>Deutérium</t>
  </si>
  <si>
    <t>C:\Program files\GaspakDemo5\D286.gas</t>
  </si>
  <si>
    <t>Dioxide de carbone</t>
  </si>
  <si>
    <t>C:\Program files\GaspakDemo5\CO289.gas</t>
  </si>
  <si>
    <t>Eau</t>
  </si>
  <si>
    <t>C:\Program files\GaspakDemo5\H2O89.gas</t>
  </si>
  <si>
    <t>Ethane</t>
  </si>
  <si>
    <t>C:\Program files\GaspakDemo5\C2H686.gas</t>
  </si>
  <si>
    <t>Ethylène</t>
  </si>
  <si>
    <t>C:\Program files\GaspakDemo5\C2H481.gas</t>
  </si>
  <si>
    <t>C:\Program files\GaspakDemo5\C2H486.gas</t>
  </si>
  <si>
    <t>Helium</t>
  </si>
  <si>
    <t>C:\Program files\GaspakDemo5\HE89.gas</t>
  </si>
  <si>
    <t>Hydrogen Sulfide</t>
  </si>
  <si>
    <t>C:\Program files\GaspakDemo5\H2S93.gas</t>
  </si>
  <si>
    <t>Isobutane</t>
  </si>
  <si>
    <t>C:\Program files\GaspakDemo5\ISOB86.gas</t>
  </si>
  <si>
    <t>Krypton</t>
  </si>
  <si>
    <t>C:\Program files\GaspakDemo5\KR90.gas</t>
  </si>
  <si>
    <t>C:\Program files\GaspakDemo5\METH86.gas</t>
  </si>
  <si>
    <t>C:\Program files\GaspakDemo5\CH489.gas</t>
  </si>
  <si>
    <t>Monoxide de carbone</t>
  </si>
  <si>
    <t>C:\Program files\GaspakDemo5\CO85.gas</t>
  </si>
  <si>
    <t>Néon</t>
  </si>
  <si>
    <t>C:\Program files\GaspakDemo5\NE91.gas</t>
  </si>
  <si>
    <t>Nitrogene Trifluoride</t>
  </si>
  <si>
    <t>C:\Program files\GaspakDemo5\NF380.gas</t>
  </si>
  <si>
    <t>Normal Hydrogene</t>
  </si>
  <si>
    <t>C:\Program files\GaspakDemo5\NH291.gas</t>
  </si>
  <si>
    <t>Oxygène</t>
  </si>
  <si>
    <t>C:\Program files\GaspakDemo5\O278.gas</t>
  </si>
  <si>
    <t>C:\Program files\GaspakDemo5\O285.gas</t>
  </si>
  <si>
    <t>C:\Program files\GaspakDemo5\PH275.gas</t>
  </si>
  <si>
    <t>Propane</t>
  </si>
  <si>
    <t>C:\Program files\GaspakDemo5\C3H886.gas</t>
  </si>
  <si>
    <t>R11</t>
  </si>
  <si>
    <t>C:\Program files\GaspakDemo5\R1191.gas</t>
  </si>
  <si>
    <t>R12</t>
  </si>
  <si>
    <t>C:\Program files\GaspakDemo5\R1291.gas</t>
  </si>
  <si>
    <t>R123</t>
  </si>
  <si>
    <t>C:\Program files\GaspakDemo5\R123N93.gas</t>
  </si>
  <si>
    <t>R124</t>
  </si>
  <si>
    <t>C:\Program files\GaspakDemo5\R124N93.gas</t>
  </si>
  <si>
    <t>R125</t>
  </si>
  <si>
    <t>C:\Program files\GaspakDemo5\R125N93.gas</t>
  </si>
  <si>
    <t>R134</t>
  </si>
  <si>
    <t>C:\Program files\GaspakDemo5\R134AN92.gas</t>
  </si>
  <si>
    <t>C:\Program files\GaspakDemo5\R134AT93.gas</t>
  </si>
  <si>
    <t>R152</t>
  </si>
  <si>
    <t>C:\Program files\GaspakDemo5\R152AT94.gas</t>
  </si>
  <si>
    <t>R22</t>
  </si>
  <si>
    <t>C:\Program files\GaspakDemo5\R2291.gas</t>
  </si>
  <si>
    <t>R32</t>
  </si>
  <si>
    <t>C:\Program files\GaspakDemo5\R32N93.gas</t>
  </si>
  <si>
    <t>C:\Program files\GaspakDemo5\R32N94.gas</t>
  </si>
  <si>
    <t>Xénon</t>
  </si>
  <si>
    <t>C:\Program files\GaspakDemo5\\XE90.gas</t>
  </si>
  <si>
    <t>Phosphine</t>
  </si>
  <si>
    <t>Protoxyde d'azote</t>
  </si>
  <si>
    <t>R11 gaz</t>
  </si>
  <si>
    <t>R12 gaz</t>
  </si>
  <si>
    <t>R22 gaz</t>
  </si>
  <si>
    <t>Silane</t>
  </si>
  <si>
    <t>Sulfure d'hydrogène</t>
  </si>
  <si>
    <t>R11 liq</t>
  </si>
  <si>
    <t>R12 liq</t>
  </si>
  <si>
    <t>R22 liq</t>
  </si>
  <si>
    <t>R32 liq</t>
  </si>
  <si>
    <t>R123 liq</t>
  </si>
  <si>
    <t>R124 liq</t>
  </si>
  <si>
    <t>R125 liq</t>
  </si>
  <si>
    <t>R152a liq</t>
  </si>
  <si>
    <t>kg/m3</t>
  </si>
  <si>
    <t>Pressure</t>
  </si>
  <si>
    <t>bar abs</t>
  </si>
  <si>
    <t>a</t>
  </si>
  <si>
    <t>g/s</t>
  </si>
  <si>
    <t>Masse Molaire</t>
  </si>
  <si>
    <t>Name</t>
  </si>
  <si>
    <t>Temperature</t>
  </si>
  <si>
    <t>FluidProperties(Fluide;Entrée1;Valeur de E1;Entrée2;Valeur de E2;Sortie;Phase;Unités)</t>
  </si>
  <si>
    <t xml:space="preserve">Fluide num. </t>
  </si>
  <si>
    <t>-</t>
  </si>
  <si>
    <t xml:space="preserve">Pression </t>
  </si>
  <si>
    <t>Bars</t>
  </si>
  <si>
    <t>Temperature (2)</t>
  </si>
  <si>
    <t>K</t>
  </si>
  <si>
    <t>Pression (1)</t>
  </si>
  <si>
    <t>Pa</t>
  </si>
  <si>
    <t>Densité (3)</t>
  </si>
  <si>
    <t>Enthalpie (5)</t>
  </si>
  <si>
    <t>kJ/kg</t>
  </si>
  <si>
    <t>Entropie (4)</t>
  </si>
  <si>
    <t>kJ/kg-K</t>
  </si>
  <si>
    <t>Energie Interne (6)</t>
  </si>
  <si>
    <t>Cp (10)</t>
  </si>
  <si>
    <t>Cv (9)</t>
  </si>
  <si>
    <t>--</t>
  </si>
  <si>
    <t>Conductivité (22)</t>
  </si>
  <si>
    <t>W/m.K</t>
  </si>
  <si>
    <t xml:space="preserve">Viscosité (21) </t>
  </si>
  <si>
    <t>Pa.s</t>
  </si>
  <si>
    <t>Vitesse du Son (15)</t>
  </si>
  <si>
    <t>m/s</t>
  </si>
  <si>
    <t>Prandlt (24)</t>
  </si>
  <si>
    <t>Chaleur Latente (29)</t>
  </si>
  <si>
    <t>Z (20)</t>
  </si>
  <si>
    <t>Gas constant R (4)</t>
  </si>
  <si>
    <t>g/mol</t>
  </si>
  <si>
    <t>Sat P (1)</t>
  </si>
  <si>
    <t>bars</t>
  </si>
  <si>
    <t>Sat T (2)</t>
  </si>
  <si>
    <t>V(dH/dV) à P=cste (17)</t>
  </si>
  <si>
    <t>Ammonia</t>
  </si>
  <si>
    <t>Pressure upper limit</t>
  </si>
  <si>
    <t>Temperature upper limit</t>
  </si>
  <si>
    <t>Butane, Iso</t>
  </si>
  <si>
    <t>Density</t>
  </si>
  <si>
    <t>Temperature lower limit</t>
  </si>
  <si>
    <t>Butane, Normal</t>
  </si>
  <si>
    <t>Entropy</t>
  </si>
  <si>
    <t>Gas constant "R"</t>
  </si>
  <si>
    <t>Carbon Dioxide</t>
  </si>
  <si>
    <t>Enthalpy</t>
  </si>
  <si>
    <t>Critical pressure</t>
  </si>
  <si>
    <t>Carbon Monoxide</t>
  </si>
  <si>
    <t>Internal energy</t>
  </si>
  <si>
    <t>Critical temeprature</t>
  </si>
  <si>
    <t>Deuterium</t>
  </si>
  <si>
    <t>dP/dD</t>
  </si>
  <si>
    <t>Critical density</t>
  </si>
  <si>
    <t>dP/dT</t>
  </si>
  <si>
    <t>Triple point pressure</t>
  </si>
  <si>
    <t>Ethylene</t>
  </si>
  <si>
    <t>Cv</t>
  </si>
  <si>
    <t>Triple point temperature</t>
  </si>
  <si>
    <t>Cp</t>
  </si>
  <si>
    <t>Triple point vapor density</t>
  </si>
  <si>
    <t>Gamma</t>
  </si>
  <si>
    <t>Triple point liquid density</t>
  </si>
  <si>
    <t>Hydrogen, Equilibrium</t>
  </si>
  <si>
    <t>Alpha</t>
  </si>
  <si>
    <t>Molecular weight</t>
  </si>
  <si>
    <t>Hydrogen, Normal</t>
  </si>
  <si>
    <t>Gruneisen</t>
  </si>
  <si>
    <t>Pressure of the standard state</t>
  </si>
  <si>
    <t>Hydrogen, Ortho</t>
  </si>
  <si>
    <t>Kt</t>
  </si>
  <si>
    <t>Accentric factor</t>
  </si>
  <si>
    <t>Hydrogen, Para</t>
  </si>
  <si>
    <t>Sound speed</t>
  </si>
  <si>
    <t>JT coefficient</t>
  </si>
  <si>
    <t>(dH/dV)*V @ const P</t>
  </si>
  <si>
    <t>Methane</t>
  </si>
  <si>
    <t>dH/dT @ const density</t>
  </si>
  <si>
    <t>dS/dT @ const density</t>
  </si>
  <si>
    <t>Neon</t>
  </si>
  <si>
    <t>Z compressibility factor</t>
  </si>
  <si>
    <t>Nitrogen</t>
  </si>
  <si>
    <t>Viscosity</t>
  </si>
  <si>
    <t>Conductivity</t>
  </si>
  <si>
    <t>Nitrogen Trifluoride</t>
  </si>
  <si>
    <t>Thermal diffusivity</t>
  </si>
  <si>
    <t>Oxygen</t>
  </si>
  <si>
    <t>Prandtl number</t>
  </si>
  <si>
    <t>Surface tension</t>
  </si>
  <si>
    <t>Dielectric constant</t>
  </si>
  <si>
    <t>Water</t>
  </si>
  <si>
    <t>PV/RT</t>
  </si>
  <si>
    <t>Xenon</t>
  </si>
  <si>
    <t>dP/dT @ const sat</t>
  </si>
  <si>
    <t>R-11</t>
  </si>
  <si>
    <t>Latent heat</t>
  </si>
  <si>
    <t>R-12</t>
  </si>
  <si>
    <t>Fugacity / Pressure</t>
  </si>
  <si>
    <t>R-22</t>
  </si>
  <si>
    <t>R-32</t>
  </si>
  <si>
    <t>R-123</t>
  </si>
  <si>
    <t>R-124</t>
  </si>
  <si>
    <t>R-125</t>
  </si>
  <si>
    <t>R-134a</t>
  </si>
  <si>
    <t>R-152a</t>
  </si>
  <si>
    <r>
      <t>g</t>
    </r>
    <r>
      <rPr>
        <sz val="10"/>
        <color indexed="10"/>
        <rFont val="Arial"/>
        <family val="2"/>
      </rPr>
      <t xml:space="preserve"> (11)</t>
    </r>
  </si>
  <si>
    <t>HePak Spreadsheet Example</t>
  </si>
  <si>
    <t>Using HeCalc, HeProperty, HeUnit and HeInput</t>
  </si>
  <si>
    <t>Try new input values (shown in red)</t>
  </si>
  <si>
    <t>Thermodynamic state definition</t>
  </si>
  <si>
    <t>Input 1</t>
  </si>
  <si>
    <t>Input 2</t>
  </si>
  <si>
    <t>Validate</t>
  </si>
  <si>
    <t>Index</t>
  </si>
  <si>
    <t>Value</t>
  </si>
  <si>
    <t>Unit System</t>
  </si>
  <si>
    <t>Units</t>
  </si>
  <si>
    <t>Error Message</t>
  </si>
  <si>
    <t>Property</t>
  </si>
  <si>
    <t xml:space="preserve"> reserved</t>
  </si>
  <si>
    <t>Input only</t>
  </si>
  <si>
    <t xml:space="preserve"> N/A</t>
  </si>
  <si>
    <t>%</t>
  </si>
  <si>
    <t>Débit massique</t>
  </si>
  <si>
    <t>s</t>
  </si>
  <si>
    <t>Pression d'entrée</t>
  </si>
  <si>
    <t>Bara</t>
  </si>
  <si>
    <t>g</t>
  </si>
  <si>
    <t>Température d'entrée</t>
  </si>
  <si>
    <t>Z</t>
  </si>
  <si>
    <t>Pression de sortie</t>
  </si>
  <si>
    <t>Température de sortie</t>
  </si>
  <si>
    <t>Kd</t>
  </si>
  <si>
    <t>Vitesse</t>
  </si>
  <si>
    <t>Hz</t>
  </si>
  <si>
    <t>Ra</t>
  </si>
  <si>
    <t>Rendement isentropique</t>
  </si>
  <si>
    <t>R</t>
  </si>
  <si>
    <t>Puissance</t>
  </si>
  <si>
    <t>W</t>
  </si>
  <si>
    <t>M</t>
  </si>
  <si>
    <t>Cft</t>
  </si>
  <si>
    <t>[--]</t>
  </si>
  <si>
    <t>J</t>
  </si>
  <si>
    <t>T Inlet (K)</t>
  </si>
  <si>
    <t>Débit (g/s)</t>
  </si>
  <si>
    <t>Rndt</t>
  </si>
  <si>
    <t>PW</t>
  </si>
  <si>
    <t xml:space="preserve">Vitesse </t>
  </si>
  <si>
    <t xml:space="preserve">T outlet </t>
  </si>
  <si>
    <r>
      <t>f</t>
    </r>
    <r>
      <rPr>
        <i/>
        <vertAlign val="subscript"/>
        <sz val="10"/>
        <rFont val="Arial"/>
        <family val="2"/>
      </rPr>
      <t>0</t>
    </r>
  </si>
  <si>
    <r>
      <t>W</t>
    </r>
    <r>
      <rPr>
        <vertAlign val="subscript"/>
        <sz val="10"/>
        <rFont val="Arial"/>
        <family val="2"/>
      </rPr>
      <t>0</t>
    </r>
  </si>
  <si>
    <t>Pression</t>
  </si>
  <si>
    <t>P</t>
  </si>
  <si>
    <t>T</t>
  </si>
  <si>
    <t>Rho</t>
  </si>
  <si>
    <t>Nb</t>
  </si>
  <si>
    <t>Fluid</t>
  </si>
  <si>
    <t>Hvap</t>
  </si>
  <si>
    <t>H_</t>
  </si>
  <si>
    <t>U_</t>
  </si>
  <si>
    <t>S_</t>
  </si>
  <si>
    <t>Cp_</t>
  </si>
  <si>
    <t>Cv_</t>
  </si>
  <si>
    <t>J/g</t>
  </si>
  <si>
    <t>Tableau de comparaison des d'exergies  fluides  F10/F18 (Distribution system)</t>
  </si>
  <si>
    <t>Puissance équiv. à 4,5K [Watt]</t>
  </si>
  <si>
    <t>Equivalence [Watt]/ [Watt</t>
  </si>
  <si>
    <t>Tf [K]  F10</t>
  </si>
  <si>
    <t>Tc [K]  F18</t>
  </si>
  <si>
    <t>Débit [g/s] F18</t>
  </si>
  <si>
    <t>Hf [J/g]</t>
  </si>
  <si>
    <t>Hc [J/g]</t>
  </si>
  <si>
    <t>Puissance échangée en kW</t>
  </si>
  <si>
    <t>Sf [J/g.K]</t>
  </si>
  <si>
    <t>Sc [J/g.K]</t>
  </si>
  <si>
    <t>Exergy [Watt] à Tc</t>
  </si>
  <si>
    <t xml:space="preserve">T ref </t>
  </si>
  <si>
    <t>4.2K mode</t>
  </si>
  <si>
    <t>DS</t>
  </si>
  <si>
    <t>4.3K mode</t>
  </si>
  <si>
    <t>4.4K mode</t>
  </si>
  <si>
    <t>4.5K mode</t>
  </si>
  <si>
    <t>4.2K mode2</t>
  </si>
  <si>
    <t>T_sat</t>
  </si>
  <si>
    <t>P_sat</t>
  </si>
  <si>
    <t>P
(bar)</t>
  </si>
  <si>
    <t>T
(K)</t>
  </si>
  <si>
    <t>H
(J/g)</t>
  </si>
  <si>
    <t>m
(g/s)</t>
  </si>
  <si>
    <t>Power
(W)</t>
  </si>
  <si>
    <t>S
(J/g)</t>
  </si>
  <si>
    <t>P=K*d*N^3</t>
  </si>
  <si>
    <t>d: Densité du gas côté frein.</t>
  </si>
  <si>
    <t>Relation entre la puissance et la vitesse de rotation</t>
  </si>
  <si>
    <t>Efficacité</t>
  </si>
  <si>
    <t>Calcul de la temperature de sortie d'une turbine</t>
  </si>
  <si>
    <t>Or on a une efficacité de</t>
  </si>
  <si>
    <t>On obtient un ΔHiso de :</t>
  </si>
  <si>
    <t>On obtient donc Hout(réel)</t>
  </si>
  <si>
    <t>Soit ΔH(réel) :</t>
  </si>
  <si>
    <t>On peut donc calculer Tout</t>
  </si>
  <si>
    <t>On a un débit massique de</t>
  </si>
  <si>
    <t>Soit une puissance de</t>
  </si>
  <si>
    <t>P
(W)</t>
  </si>
  <si>
    <t>Débit
(g/s)</t>
  </si>
  <si>
    <t>Synthèse</t>
  </si>
  <si>
    <t>Démarche</t>
  </si>
  <si>
    <t>On calcul Tout(iso) puis Hout(iso) à l'aide de l'entropie</t>
  </si>
  <si>
    <t>Relation entre le débit, la pression et la température en entrée de turbine</t>
  </si>
  <si>
    <t>Evolution de la chute enthalpique en fonciton de la température</t>
  </si>
  <si>
    <t>Application au Cool down</t>
  </si>
  <si>
    <t>Pour Pin et Pout constants, m diminue si T augmente</t>
  </si>
  <si>
    <t>TURBINE T2</t>
  </si>
  <si>
    <t>TURBINE T1</t>
  </si>
  <si>
    <t>ppm</t>
  </si>
  <si>
    <t>°C</t>
  </si>
  <si>
    <t>Calcul de la quantité d'eau en fonction du point de rosée</t>
  </si>
  <si>
    <t>[H2O]</t>
  </si>
  <si>
    <t>Calcul du point de rosé en fonction de la teneur désirée</t>
  </si>
  <si>
    <t>Le point de rosée de l'air est la température à laquelle la pression partielle de vapeur d'eau est égale à sa pression de vapeur saturante.</t>
  </si>
  <si>
    <t>Point de rosée</t>
  </si>
  <si>
    <t>Teneur en eau</t>
  </si>
  <si>
    <t>ppm (Vol.)</t>
  </si>
  <si>
    <t>g/m3</t>
  </si>
  <si>
    <t>g/m3*</t>
  </si>
  <si>
    <t xml:space="preserve"> Température de référence = température du point de rosée</t>
  </si>
  <si>
    <t>Quantité d'eau</t>
  </si>
  <si>
    <t>Sortie Compresseur</t>
  </si>
  <si>
    <t>m</t>
  </si>
  <si>
    <t>Nm3/h gas</t>
  </si>
  <si>
    <t>Nm3/s</t>
  </si>
  <si>
    <t>heures</t>
  </si>
  <si>
    <t>ppmv</t>
  </si>
  <si>
    <t>kg/s</t>
  </si>
  <si>
    <t>L</t>
  </si>
  <si>
    <t>L/s</t>
  </si>
  <si>
    <t>Eau accumulé
(L)</t>
  </si>
  <si>
    <t>Rappel</t>
  </si>
  <si>
    <t>Tableau de valeur</t>
  </si>
  <si>
    <t>Temps d'utilisation</t>
  </si>
  <si>
    <t>Litre d'eau</t>
  </si>
  <si>
    <t>Masse d'eau</t>
  </si>
  <si>
    <t>Pourcentage d'air dans l'helium saturé en eau</t>
  </si>
  <si>
    <t>% d'air</t>
  </si>
  <si>
    <t>Q(H2O)</t>
  </si>
  <si>
    <t>Q
(g/s)</t>
  </si>
  <si>
    <t>Pression
(bar)</t>
  </si>
  <si>
    <t>ΔP
(mbar)</t>
  </si>
  <si>
    <t>Rho
(kg/m3)</t>
  </si>
  <si>
    <t>Helial 2000 Reference</t>
  </si>
  <si>
    <t>Helial 1000 Reference</t>
  </si>
  <si>
    <t>C2047-KYOTO</t>
  </si>
  <si>
    <t>C2039-HEFEI</t>
  </si>
  <si>
    <t>ORS H1000 &amp; H2000 ΔP REFERENCES</t>
  </si>
  <si>
    <t>Pf [bar]</t>
  </si>
  <si>
    <t>Pc [bar]</t>
  </si>
  <si>
    <t>Equivalence [Watt]/ [Watt]</t>
  </si>
  <si>
    <t>Tf [K]</t>
  </si>
  <si>
    <t>Tc [K]</t>
  </si>
  <si>
    <t>Débit [g/s]</t>
  </si>
  <si>
    <t>Exergy [Watt]</t>
  </si>
  <si>
    <t xml:space="preserve">Liquefaction helium </t>
  </si>
  <si>
    <t>Refrigeration</t>
  </si>
  <si>
    <t>Total Power @ T ref</t>
  </si>
  <si>
    <t>Niveau de référence</t>
  </si>
  <si>
    <t>T froide</t>
  </si>
  <si>
    <t>T chaude</t>
  </si>
  <si>
    <t>Carnot</t>
  </si>
  <si>
    <t>Exergy [Watt] @ Tc</t>
  </si>
  <si>
    <t>P
[W]</t>
  </si>
  <si>
    <t>Tc
[K]</t>
  </si>
  <si>
    <t>Tf
[K]</t>
  </si>
  <si>
    <t>P équiv. à t ref [Watt]</t>
  </si>
  <si>
    <t>Hf
[J/g]</t>
  </si>
  <si>
    <t>Hc
[J/g]</t>
  </si>
  <si>
    <t>Sf
[J/g.K]</t>
  </si>
  <si>
    <t>Pf
[Bar]</t>
  </si>
  <si>
    <t>Pc
[Bar]</t>
  </si>
  <si>
    <t>Ecrans</t>
  </si>
  <si>
    <t>Ecart au bout chaud</t>
  </si>
  <si>
    <t>Echangeurs</t>
  </si>
  <si>
    <t>Fuite au laby</t>
  </si>
  <si>
    <t>ρ</t>
  </si>
  <si>
    <t>ρV^2</t>
  </si>
  <si>
    <t>Vmax</t>
  </si>
  <si>
    <t>pour un gaz on prend vmax =20m/s</t>
  </si>
  <si>
    <t>Flow</t>
  </si>
  <si>
    <t>m3/h</t>
  </si>
  <si>
    <t>Dmin</t>
  </si>
  <si>
    <t>mm</t>
  </si>
  <si>
    <t>Diametre de tuyauterie</t>
  </si>
  <si>
    <t>b</t>
  </si>
  <si>
    <t>Puissance nécessaire à la compression adiabatique</t>
  </si>
  <si>
    <t>kW</t>
  </si>
  <si>
    <t xml:space="preserve">avec rendement adiabatique par défaut dans Hysys de </t>
  </si>
  <si>
    <t>Puissance nécessaire à la compression isotherme</t>
  </si>
  <si>
    <t>avec rendement isotherme de</t>
  </si>
  <si>
    <t>Rendement adiabatique et isotherme</t>
  </si>
  <si>
    <t>3/8''</t>
  </si>
  <si>
    <t>1/2''</t>
  </si>
  <si>
    <t>5S</t>
  </si>
  <si>
    <t>3/4''</t>
  </si>
  <si>
    <t>1''</t>
  </si>
  <si>
    <t>1''1/4</t>
  </si>
  <si>
    <t>1''1/2</t>
  </si>
  <si>
    <t>2''</t>
  </si>
  <si>
    <t>2''1/2</t>
  </si>
  <si>
    <t>3''</t>
  </si>
  <si>
    <t>4''</t>
  </si>
  <si>
    <t>Pf [bara]</t>
  </si>
  <si>
    <t>Pc [bara]</t>
  </si>
  <si>
    <t>Puissance [W]</t>
  </si>
  <si>
    <t>Thermal shields</t>
  </si>
  <si>
    <t>Liquid Helium</t>
  </si>
  <si>
    <t>Total Power @4.5K</t>
  </si>
  <si>
    <t>Débit</t>
  </si>
  <si>
    <t>Densité liquide (4,49K)</t>
  </si>
  <si>
    <t xml:space="preserve">Débit </t>
  </si>
  <si>
    <t>Equivalent@4,5K</t>
  </si>
  <si>
    <t>(g/s)</t>
  </si>
  <si>
    <t xml:space="preserve"> (kg/m3)</t>
  </si>
  <si>
    <t>(l/h)</t>
  </si>
  <si>
    <t>(W)</t>
  </si>
  <si>
    <t>Tf</t>
  </si>
  <si>
    <t>Ti</t>
  </si>
  <si>
    <t>DeltaT</t>
  </si>
  <si>
    <t>Calcul de la Puissance Elec Compresseur en fonction du débit d'air</t>
  </si>
  <si>
    <t>Débit compresseur</t>
  </si>
  <si>
    <t>P1</t>
  </si>
  <si>
    <t>bar</t>
  </si>
  <si>
    <t>P2</t>
  </si>
  <si>
    <t>Ratio de P</t>
  </si>
  <si>
    <t>Power</t>
  </si>
  <si>
    <t>Cas d'un liquéfacteur</t>
  </si>
  <si>
    <t xml:space="preserve">On veut </t>
  </si>
  <si>
    <t>soit environ</t>
  </si>
  <si>
    <t>L/h</t>
  </si>
  <si>
    <t>Température</t>
  </si>
  <si>
    <t>Température Amb</t>
  </si>
  <si>
    <t>Or 1g/s équivault à 100W à 4,5K (bilan exergie)</t>
  </si>
  <si>
    <t>Pour produire 1g/s à 4,5K il faut</t>
  </si>
  <si>
    <t>Pertes thermique du liquéfacteur</t>
  </si>
  <si>
    <t>Rendement de la boite</t>
  </si>
  <si>
    <t>Rendement de compression</t>
  </si>
  <si>
    <t>Rendement global</t>
  </si>
  <si>
    <t>Cas d'un réfrigérateur</t>
  </si>
  <si>
    <t>W @4,5K</t>
  </si>
  <si>
    <t>Propriétés physique des gas</t>
  </si>
  <si>
    <t>On vient charger par PCV280 la quantité d'helium à liquéfier.</t>
  </si>
  <si>
    <t>Fonctionnement 100% liquéfaction</t>
  </si>
  <si>
    <t>Prod Liquide :</t>
  </si>
  <si>
    <t>PCV280</t>
  </si>
  <si>
    <t>PCV289</t>
  </si>
  <si>
    <t>Fonctionnement 100% réfrigération</t>
  </si>
  <si>
    <t>Puissance Réfrigération</t>
  </si>
  <si>
    <t>Débit à décharger</t>
  </si>
  <si>
    <t>Débit à charger</t>
  </si>
  <si>
    <t>Hvap(Liquide Sat)</t>
  </si>
  <si>
    <t>Dimensionnement des vannes de charge et de décharge</t>
  </si>
  <si>
    <t>PCV275</t>
  </si>
  <si>
    <t>Pas de variateur, donc l'ensemble du débit doit pouvoir passer dans la vanne PCV275.</t>
  </si>
  <si>
    <t>En nominal on a 3% du débit disponible pour régler la pression de la BP.</t>
  </si>
  <si>
    <t>Débit minimum à réguler :</t>
  </si>
  <si>
    <t>Débit max</t>
  </si>
  <si>
    <t>Hydrogène Para</t>
  </si>
  <si>
    <t>With ORS H1000</t>
  </si>
  <si>
    <t>With ORS H2000</t>
  </si>
  <si>
    <t>LP</t>
  </si>
  <si>
    <t>HP</t>
  </si>
  <si>
    <t>MP</t>
  </si>
  <si>
    <t>Pin</t>
  </si>
  <si>
    <t>HX1</t>
  </si>
  <si>
    <t>Pout</t>
  </si>
  <si>
    <t>Tin</t>
  </si>
  <si>
    <t>Tout</t>
  </si>
  <si>
    <r>
      <t>D</t>
    </r>
    <r>
      <rPr>
        <sz val="10"/>
        <rFont val="Arial"/>
      </rPr>
      <t>P</t>
    </r>
  </si>
  <si>
    <t>HX2</t>
  </si>
  <si>
    <t>T1</t>
  </si>
  <si>
    <t>Adsorber</t>
  </si>
  <si>
    <t>Pout(80K)</t>
  </si>
  <si>
    <t>FCV450</t>
  </si>
  <si>
    <t>80K</t>
  </si>
  <si>
    <t>Filtre 1</t>
  </si>
  <si>
    <t>Pin (T1)</t>
  </si>
  <si>
    <t>m (T1)</t>
  </si>
  <si>
    <t>HX3</t>
  </si>
  <si>
    <t>HX4</t>
  </si>
  <si>
    <t>Purifier(ON)</t>
  </si>
  <si>
    <t>T2</t>
  </si>
  <si>
    <t>HX5</t>
  </si>
  <si>
    <t>HX6</t>
  </si>
  <si>
    <t>Circuit</t>
  </si>
  <si>
    <t>DP(mbar)</t>
  </si>
  <si>
    <t>+</t>
  </si>
  <si>
    <t>LN2</t>
  </si>
  <si>
    <t>Rho(in)</t>
  </si>
  <si>
    <t>ΔP1 = K*ρ*v² = K1*m²/ρ</t>
  </si>
  <si>
    <t>ΔP * ρ / m² = K1</t>
  </si>
  <si>
    <t>ΔP2 = ΔP1 * (ρ1/ ρ2)* (m2/ m1)²</t>
  </si>
  <si>
    <r>
      <t>D</t>
    </r>
    <r>
      <rPr>
        <b/>
        <sz val="10"/>
        <rFont val="Arial"/>
        <family val="2"/>
      </rPr>
      <t xml:space="preserve">P LP = </t>
    </r>
  </si>
  <si>
    <r>
      <t>D</t>
    </r>
    <r>
      <rPr>
        <b/>
        <sz val="10"/>
        <rFont val="Arial"/>
        <family val="2"/>
      </rPr>
      <t>P HP =</t>
    </r>
  </si>
  <si>
    <r>
      <t>D</t>
    </r>
    <r>
      <rPr>
        <b/>
        <sz val="10"/>
        <rFont val="Arial"/>
        <family val="2"/>
      </rPr>
      <t>P MP =</t>
    </r>
  </si>
  <si>
    <t>VERIFICATION - VINCENT</t>
  </si>
  <si>
    <t>PROCESS</t>
  </si>
  <si>
    <t>T out</t>
  </si>
  <si>
    <t>T in</t>
  </si>
  <si>
    <t>Ghe piston</t>
  </si>
  <si>
    <t>Lhe conso</t>
  </si>
  <si>
    <t>Dewar neck</t>
  </si>
  <si>
    <t>CALCUL RETOUR</t>
  </si>
  <si>
    <t>fuite</t>
  </si>
  <si>
    <t>LP Side</t>
  </si>
  <si>
    <t>MP Side</t>
  </si>
  <si>
    <t>HP Side</t>
  </si>
  <si>
    <t>N2 Side</t>
  </si>
  <si>
    <t>NA</t>
  </si>
  <si>
    <t>in HX2</t>
  </si>
  <si>
    <t>in HX3</t>
  </si>
  <si>
    <t>in HX5</t>
  </si>
  <si>
    <t>REFERENCE</t>
  </si>
  <si>
    <t>Helial 1000 80K</t>
  </si>
  <si>
    <t>Helial 1000 20K</t>
  </si>
  <si>
    <t>Helial 2000 20K</t>
  </si>
  <si>
    <t>Helial 2000 80K</t>
  </si>
  <si>
    <t>(C1094 NT 004)</t>
  </si>
  <si>
    <t>STD HELIAL  ML</t>
  </si>
  <si>
    <t>Quel référence prendre pour le calcul de la DP adsorber ????</t>
  </si>
  <si>
    <t>CALCUL DEPUIS LA REFERENCE</t>
  </si>
  <si>
    <t>RELEVE DU CALCUL PROCESS</t>
  </si>
  <si>
    <t>EN ROUGE REPRIS D'HEFEI (C2039)</t>
  </si>
  <si>
    <t>cp</t>
  </si>
  <si>
    <t>DT</t>
  </si>
  <si>
    <t>Turbines</t>
  </si>
  <si>
    <r>
      <t>f</t>
    </r>
    <r>
      <rPr>
        <sz val="10"/>
        <rFont val="Arial"/>
      </rPr>
      <t xml:space="preserve"> int</t>
    </r>
  </si>
  <si>
    <t>Pam</t>
  </si>
  <si>
    <t>Pav</t>
  </si>
  <si>
    <t>mass flow</t>
  </si>
  <si>
    <t>rugosité</t>
  </si>
  <si>
    <t>length</t>
  </si>
  <si>
    <t>rho</t>
  </si>
  <si>
    <t>mu</t>
  </si>
  <si>
    <t>V</t>
  </si>
  <si>
    <t>Vsound</t>
  </si>
  <si>
    <t>Re</t>
  </si>
  <si>
    <t xml:space="preserve">Lambda </t>
  </si>
  <si>
    <t>DP</t>
  </si>
  <si>
    <t>(mm)</t>
  </si>
  <si>
    <t>(bar a)</t>
  </si>
  <si>
    <t>bar a</t>
  </si>
  <si>
    <t>(K)</t>
  </si>
  <si>
    <t>(m)</t>
  </si>
  <si>
    <t>(kg/m3)</t>
  </si>
  <si>
    <t>(Pa.s)</t>
  </si>
  <si>
    <t>(m/s)</t>
  </si>
  <si>
    <t>(mbar)</t>
  </si>
  <si>
    <t>(mbar/m)</t>
  </si>
  <si>
    <t>HP CB</t>
  </si>
  <si>
    <t>Ref Cambridge (avec vanne FCV450 à 55%)</t>
  </si>
  <si>
    <t>Total calcul</t>
  </si>
  <si>
    <t>Cambridge</t>
  </si>
  <si>
    <t>test 15 bara</t>
  </si>
  <si>
    <t>30 g/s</t>
  </si>
  <si>
    <t>Total estimé</t>
  </si>
  <si>
    <t>HP turbine 1</t>
  </si>
  <si>
    <t>mbar</t>
  </si>
  <si>
    <t>Dans le calcul impur =&gt;</t>
  </si>
  <si>
    <t>Design en impur</t>
  </si>
  <si>
    <t>il manque</t>
  </si>
  <si>
    <t>Dans le calcul pur =&gt;</t>
  </si>
  <si>
    <t>HP comp</t>
  </si>
  <si>
    <t>Dans le calcul =&gt;</t>
  </si>
  <si>
    <t>même si erreur d'un facteur 2</t>
  </si>
  <si>
    <t>400 mb au lieu de 200 mb en nominal</t>
  </si>
  <si>
    <t>il reste encore =</t>
  </si>
  <si>
    <t>450-2*120</t>
  </si>
  <si>
    <t>mb de marge</t>
  </si>
  <si>
    <t>Cela compense la DP additionnel sur la CB</t>
  </si>
  <si>
    <t>BP CB</t>
  </si>
  <si>
    <t xml:space="preserve">Ds calcul </t>
  </si>
  <si>
    <t>Attention à la DP vanne retour</t>
  </si>
  <si>
    <t>22OD</t>
  </si>
  <si>
    <t>DN</t>
  </si>
  <si>
    <r>
      <t>f</t>
    </r>
    <r>
      <rPr>
        <b/>
        <sz val="10"/>
        <rFont val="Arial"/>
        <family val="2"/>
      </rPr>
      <t xml:space="preserve"> int</t>
    </r>
  </si>
  <si>
    <t>DN40</t>
  </si>
  <si>
    <t>BP HX1</t>
  </si>
  <si>
    <t>BP HX2-3-4</t>
  </si>
  <si>
    <t>BP HX5</t>
  </si>
  <si>
    <t xml:space="preserve">BP HX6 </t>
  </si>
  <si>
    <t>HP HX</t>
  </si>
  <si>
    <t>HP HX2</t>
  </si>
  <si>
    <t>HP HX3/4</t>
  </si>
  <si>
    <t>HP HX5/6</t>
  </si>
  <si>
    <t>MP HX 4</t>
  </si>
  <si>
    <t>LN2 HX1</t>
  </si>
  <si>
    <t>ADSORBER 80K H1000 &amp; H2000 (C1094NT004 &amp; C1088NT004)</t>
  </si>
  <si>
    <t>ADSORBER 20K H1000 &amp; H2000 (C1094NT004 &amp; C1088NT004)</t>
  </si>
  <si>
    <t>REFERENCE HELIAL CAMBRIDGE</t>
  </si>
  <si>
    <t>CALCUL KYOTO</t>
  </si>
  <si>
    <t>CALCUL ADSORBER 80K</t>
  </si>
  <si>
    <r>
      <t>On a :</t>
    </r>
    <r>
      <rPr>
        <sz val="10"/>
        <rFont val="Arial"/>
      </rPr>
      <t xml:space="preserve"> Pin, Tin, rdt isenthropique, Tin et Pout. On veut Tout.</t>
    </r>
  </si>
  <si>
    <t>rendement=(0,321*rap^4 - 1,6098*rap^3 + 1,316*rap^2 + 0,9448*rap)*(ETAgar/0,97)</t>
  </si>
  <si>
    <t>U1/CO _nom</t>
  </si>
  <si>
    <t>Eta_gar</t>
  </si>
  <si>
    <t>u1/Co</t>
  </si>
  <si>
    <t>Rdt</t>
  </si>
  <si>
    <r>
      <t>F</t>
    </r>
    <r>
      <rPr>
        <sz val="10"/>
        <color indexed="12"/>
        <rFont val="Times New Roman"/>
        <family val="1"/>
      </rPr>
      <t xml:space="preserve"> Let u be the peripheral speed of the wheel : u = </t>
    </r>
    <r>
      <rPr>
        <sz val="10"/>
        <color indexed="12"/>
        <rFont val="Symbol"/>
        <family val="1"/>
        <charset val="2"/>
      </rPr>
      <t xml:space="preserve">p </t>
    </r>
    <r>
      <rPr>
        <sz val="10"/>
        <color indexed="12"/>
        <rFont val="Times New Roman"/>
        <family val="1"/>
      </rPr>
      <t xml:space="preserve">. </t>
    </r>
    <r>
      <rPr>
        <sz val="10"/>
        <color indexed="12"/>
        <rFont val="Symbol"/>
        <family val="1"/>
        <charset val="2"/>
      </rPr>
      <t xml:space="preserve">Æ </t>
    </r>
    <r>
      <rPr>
        <sz val="10"/>
        <color indexed="12"/>
        <rFont val="Times New Roman"/>
        <family val="1"/>
      </rPr>
      <t>. N / 60                      (in m/s)</t>
    </r>
  </si>
  <si>
    <r>
      <t>F</t>
    </r>
    <r>
      <rPr>
        <sz val="10"/>
        <color indexed="12"/>
        <rFont val="Times New Roman"/>
        <family val="1"/>
      </rPr>
      <t xml:space="preserve"> Let </t>
    </r>
    <r>
      <rPr>
        <sz val="10"/>
        <color indexed="12"/>
        <rFont val="Symbol"/>
        <family val="1"/>
        <charset val="2"/>
      </rPr>
      <t>n</t>
    </r>
    <r>
      <rPr>
        <sz val="10"/>
        <color indexed="12"/>
        <rFont val="Times New Roman"/>
        <family val="1"/>
      </rPr>
      <t xml:space="preserve">, be the speed ratio of the turbine : </t>
    </r>
    <r>
      <rPr>
        <sz val="10"/>
        <color indexed="10"/>
        <rFont val="Symbol"/>
        <family val="1"/>
        <charset val="2"/>
      </rPr>
      <t>n</t>
    </r>
    <r>
      <rPr>
        <sz val="10"/>
        <color indexed="10"/>
        <rFont val="Times New Roman"/>
        <family val="1"/>
      </rPr>
      <t xml:space="preserve"> =  u / [ 2 . (H</t>
    </r>
    <r>
      <rPr>
        <vertAlign val="subscript"/>
        <sz val="10"/>
        <color indexed="10"/>
        <rFont val="Times New Roman"/>
        <family val="1"/>
      </rPr>
      <t>1</t>
    </r>
    <r>
      <rPr>
        <sz val="10"/>
        <color indexed="10"/>
        <rFont val="Times New Roman"/>
        <family val="1"/>
      </rPr>
      <t xml:space="preserve"> - H</t>
    </r>
    <r>
      <rPr>
        <vertAlign val="subscript"/>
        <sz val="10"/>
        <color indexed="10"/>
        <rFont val="Times New Roman"/>
        <family val="1"/>
      </rPr>
      <t>2S</t>
    </r>
    <r>
      <rPr>
        <sz val="10"/>
        <color indexed="10"/>
        <rFont val="Times New Roman"/>
        <family val="1"/>
      </rPr>
      <t xml:space="preserve"> ) ] </t>
    </r>
    <r>
      <rPr>
        <vertAlign val="superscript"/>
        <sz val="10"/>
        <color indexed="10"/>
        <rFont val="Times New Roman"/>
        <family val="1"/>
      </rPr>
      <t>0.5</t>
    </r>
    <r>
      <rPr>
        <sz val="10"/>
        <color indexed="12"/>
        <rFont val="Times New Roman"/>
        <family val="1"/>
      </rPr>
      <t xml:space="preserve">       (dimensionless number)</t>
    </r>
  </si>
  <si>
    <t>N = speed of rotation of the turbine (in rpm)</t>
  </si>
  <si>
    <r>
      <t>Æ</t>
    </r>
    <r>
      <rPr>
        <sz val="10"/>
        <color indexed="12"/>
        <rFont val="Times New Roman"/>
        <family val="1"/>
      </rPr>
      <t xml:space="preserve"> = diameter of the wheel of the turbine (in m)</t>
    </r>
  </si>
  <si>
    <t>d : mm</t>
  </si>
  <si>
    <t>N : Hz</t>
  </si>
  <si>
    <t>H : J/kG</t>
  </si>
  <si>
    <t>Co = (2*ΔHs)^0,5</t>
  </si>
  <si>
    <t>Hin</t>
  </si>
  <si>
    <t>Hout</t>
  </si>
  <si>
    <t>Sin = Sout</t>
  </si>
  <si>
    <t>Tout(iso)</t>
  </si>
  <si>
    <t>Hout(iso)</t>
  </si>
  <si>
    <t>ΔHs</t>
  </si>
  <si>
    <t>ATTENTION : EFFICACITE CONSTANTE</t>
  </si>
  <si>
    <t>T2_turb(gas, Pin, T, Pout, r)</t>
  </si>
  <si>
    <t>Lambda ALU 3003
W/(m-K)</t>
  </si>
  <si>
    <t>Lambda 304L
W/(m-K)</t>
  </si>
  <si>
    <t>Cp ALU 3003
J/(kg-K)</t>
  </si>
  <si>
    <t>Démonstration</t>
  </si>
  <si>
    <t>Le débit massique entrant dans la turbine est :</t>
  </si>
  <si>
    <t xml:space="preserve">La vitesse du son d'un gas parfait peut s'écrire : </t>
  </si>
  <si>
    <t>Dans le cas d'un écoulement sonique on pourra donc écrire :</t>
  </si>
  <si>
    <t xml:space="preserve">Or pour un gas parfait on a : </t>
  </si>
  <si>
    <t>soit</t>
  </si>
  <si>
    <t>H</t>
  </si>
  <si>
    <t>DESIGN</t>
  </si>
  <si>
    <t>OFF_01</t>
  </si>
  <si>
    <t>Pour un écoulement sonique (Pin &gt; 2xPout)</t>
  </si>
  <si>
    <t>Courbe de rendement TC3</t>
  </si>
  <si>
    <r>
      <t>a</t>
    </r>
    <r>
      <rPr>
        <b/>
        <sz val="10"/>
        <color indexed="10"/>
        <rFont val="Arial"/>
        <family val="2"/>
      </rPr>
      <t xml:space="preserve"> = m</t>
    </r>
    <r>
      <rPr>
        <b/>
        <sz val="10"/>
        <color indexed="10"/>
        <rFont val="Symbol"/>
        <family val="1"/>
        <charset val="2"/>
      </rPr>
      <t>Ö</t>
    </r>
    <r>
      <rPr>
        <b/>
        <sz val="10"/>
        <color indexed="10"/>
        <rFont val="Arial"/>
        <family val="2"/>
      </rPr>
      <t>T/P</t>
    </r>
  </si>
  <si>
    <t>Cooldown</t>
  </si>
  <si>
    <t>On estime que T2 atteint rapidement sa vitesse nominale.</t>
  </si>
  <si>
    <t>Efficacity</t>
  </si>
  <si>
    <t>Wheel</t>
  </si>
  <si>
    <t>Speed</t>
  </si>
  <si>
    <t>On connait donc :</t>
  </si>
  <si>
    <t>- Puissance T2</t>
  </si>
  <si>
    <t>- P2(out)</t>
  </si>
  <si>
    <t>La vitesse de T1 est limitée par T2. Or la puissance décroit en ^3 par rapport à la vitesse.</t>
  </si>
  <si>
    <t>Donc la puissance de T1 est négligée au départ</t>
  </si>
  <si>
    <t>Job nbr :</t>
  </si>
  <si>
    <t>Document number</t>
  </si>
  <si>
    <t>Name :</t>
  </si>
  <si>
    <t>C2047 DS XXX</t>
  </si>
  <si>
    <t xml:space="preserve">  </t>
  </si>
  <si>
    <t>Head Losses</t>
  </si>
  <si>
    <t>Reference</t>
  </si>
  <si>
    <t>in Lines</t>
  </si>
  <si>
    <t xml:space="preserve"> </t>
  </si>
  <si>
    <t>Ligne
N°</t>
  </si>
  <si>
    <t>FROM</t>
  </si>
  <si>
    <t>TO</t>
  </si>
  <si>
    <t>Choix DN</t>
  </si>
  <si>
    <t>Vérification Delta P</t>
  </si>
  <si>
    <t>Rho He</t>
  </si>
  <si>
    <t>Q He</t>
  </si>
  <si>
    <t>Din</t>
  </si>
  <si>
    <t>PN</t>
  </si>
  <si>
    <t>Ma</t>
  </si>
  <si>
    <t>ρ.V²</t>
  </si>
  <si>
    <t>µ</t>
  </si>
  <si>
    <t>Cf</t>
  </si>
  <si>
    <t>Coude(s)</t>
  </si>
  <si>
    <t>DP coude(s)</t>
  </si>
  <si>
    <t>DP
linéaire</t>
  </si>
  <si>
    <t>DP ligne total</t>
  </si>
  <si>
    <t>He</t>
  </si>
  <si>
    <t>BP</t>
  </si>
  <si>
    <t>Revision</t>
  </si>
  <si>
    <t>DATE</t>
  </si>
  <si>
    <t>BY</t>
  </si>
  <si>
    <t>CHECKED</t>
  </si>
  <si>
    <t xml:space="preserve">   COMMENTS</t>
  </si>
  <si>
    <t>Page</t>
  </si>
  <si>
    <t>V.HELOIN</t>
  </si>
  <si>
    <t>1/1</t>
  </si>
  <si>
    <t>I/ PN10</t>
  </si>
  <si>
    <t>Service limit</t>
  </si>
  <si>
    <t>Design data*</t>
  </si>
  <si>
    <t>Pressure (Bar)</t>
  </si>
  <si>
    <t>Vacuum</t>
  </si>
  <si>
    <t>Temperature (°C)</t>
  </si>
  <si>
    <t>Diam</t>
  </si>
  <si>
    <t>D out</t>
  </si>
  <si>
    <t>Ep</t>
  </si>
  <si>
    <t>D in</t>
  </si>
  <si>
    <t>3/8"</t>
  </si>
  <si>
    <t>1/2"</t>
  </si>
  <si>
    <t>3/4"</t>
  </si>
  <si>
    <t>1"</t>
  </si>
  <si>
    <t>1"1/4</t>
  </si>
  <si>
    <t>1"1/2</t>
  </si>
  <si>
    <t>2"</t>
  </si>
  <si>
    <t>2"1/2</t>
  </si>
  <si>
    <t>3"</t>
  </si>
  <si>
    <t>4"</t>
  </si>
  <si>
    <t>6"</t>
  </si>
  <si>
    <t>8"</t>
  </si>
  <si>
    <t>10"</t>
  </si>
  <si>
    <t>12"</t>
  </si>
  <si>
    <t>II/ PN27</t>
  </si>
  <si>
    <t>III/ Nombre de coudes</t>
  </si>
  <si>
    <t>Gas Bag</t>
  </si>
  <si>
    <t>Recovery Comp</t>
  </si>
  <si>
    <t>Vmax calc</t>
  </si>
  <si>
    <t>Vmax choisi</t>
  </si>
  <si>
    <t>Dmin int</t>
  </si>
  <si>
    <t>Capa HP</t>
  </si>
  <si>
    <t>Purifier</t>
  </si>
  <si>
    <t>Buffer</t>
  </si>
  <si>
    <t>Detendeur</t>
  </si>
  <si>
    <t>Vérification diametre de tuyauterie minimum</t>
  </si>
  <si>
    <t>On vient décharger par PCV289 le retour gas Helium provenant de la réfrigération.</t>
  </si>
  <si>
    <t>Helium compressor</t>
  </si>
  <si>
    <t>Total internal</t>
  </si>
  <si>
    <t>Maximum</t>
  </si>
  <si>
    <t>Total pressurized</t>
  </si>
  <si>
    <t>Maximum allowable</t>
  </si>
  <si>
    <t>approx.</t>
  </si>
  <si>
    <t>Typ</t>
  </si>
  <si>
    <t>Volumen about</t>
  </si>
  <si>
    <t>working pressure</t>
  </si>
  <si>
    <t>Gas-Volume </t>
  </si>
  <si>
    <t>"Start-up-Pressure"</t>
  </si>
  <si>
    <t>Volume on Suction</t>
  </si>
  <si>
    <t>[ltr.]</t>
  </si>
  <si>
    <t>[bar(g)]</t>
  </si>
  <si>
    <t>on Suction Side [bar(g)]</t>
  </si>
  <si>
    <t>Side [ltr.]</t>
  </si>
  <si>
    <t>ASD</t>
  </si>
  <si>
    <t>BSD</t>
  </si>
  <si>
    <t>CSD</t>
  </si>
  <si>
    <t>CSDX</t>
  </si>
  <si>
    <t>DSD</t>
  </si>
  <si>
    <t>DSDX</t>
  </si>
  <si>
    <t>ESD</t>
  </si>
  <si>
    <t>FSD</t>
  </si>
  <si>
    <t>Entrée Aftercooler</t>
  </si>
  <si>
    <t>bara</t>
  </si>
  <si>
    <t>Puissance froide avec atm à 32°C</t>
  </si>
  <si>
    <t>L/mn</t>
  </si>
  <si>
    <t>Sortie Aftercooler</t>
  </si>
  <si>
    <t>Puissance turbines</t>
  </si>
  <si>
    <t>Puissance chiller (eau 15°C, atm 32°C)</t>
  </si>
  <si>
    <t>Débit turbines</t>
  </si>
  <si>
    <t>Débit total Chiller (50M)</t>
  </si>
  <si>
    <t>DTML</t>
  </si>
  <si>
    <t>KS</t>
  </si>
  <si>
    <t>W/K</t>
  </si>
  <si>
    <t>Entrée comp</t>
  </si>
  <si>
    <t>Gain sur débit</t>
  </si>
  <si>
    <t>HELIUM</t>
  </si>
  <si>
    <t>F</t>
  </si>
  <si>
    <t>WATER</t>
  </si>
  <si>
    <t>3010902</t>
  </si>
  <si>
    <t>HELIAL ML KYOTO</t>
  </si>
  <si>
    <t>C2047-DS-00X(0)</t>
  </si>
  <si>
    <t>After Cooler Definition Needs</t>
  </si>
  <si>
    <t>KYOTO</t>
  </si>
  <si>
    <t>Need Definition : Simple Process Flow Diagram</t>
  </si>
  <si>
    <t>The cooler will be placed at the outlet of the main helium compressor in order to cool down the helium from 314 K</t>
  </si>
  <si>
    <t>to 294,5K K</t>
  </si>
  <si>
    <t>VISA</t>
  </si>
  <si>
    <t>15/07/2009</t>
  </si>
  <si>
    <t>VH</t>
  </si>
  <si>
    <t>Q</t>
  </si>
  <si>
    <t>Cool down Helium from 314 K</t>
  </si>
  <si>
    <t>Power to be extracted by the water at compressor outlet</t>
  </si>
  <si>
    <t>Power needed by turbines</t>
  </si>
  <si>
    <t>Minimal power to be supplied by water cooling system :</t>
  </si>
  <si>
    <t>Water temperature available :</t>
  </si>
  <si>
    <t>15°C</t>
  </si>
  <si>
    <t>Power provided by the selected model :</t>
  </si>
  <si>
    <t>8 kW</t>
  </si>
  <si>
    <t>will be around :</t>
  </si>
  <si>
    <t>Model Selection</t>
  </si>
  <si>
    <t>Model Selection Verification</t>
  </si>
  <si>
    <t>We estimate that the Pressure at the outlet of the cooling system</t>
  </si>
  <si>
    <t xml:space="preserve">Total Available Flow : </t>
  </si>
  <si>
    <t>24/03/2010</t>
  </si>
  <si>
    <t>COMMENTS</t>
  </si>
  <si>
    <t>S.CRISPEL</t>
  </si>
  <si>
    <t>DELTA P LINAIRES</t>
  </si>
  <si>
    <t>Fluide</t>
  </si>
  <si>
    <t>EUROPEAN CODE</t>
  </si>
  <si>
    <t>DN
(inch)</t>
  </si>
  <si>
    <t>DN
(mm)</t>
  </si>
  <si>
    <t>Dext
(mm)</t>
  </si>
  <si>
    <t>e
(mm)</t>
  </si>
  <si>
    <t>Din
(mm)</t>
  </si>
  <si>
    <t>P bar abs</t>
  </si>
  <si>
    <t>T °K</t>
  </si>
  <si>
    <t>Cp (J/kg/K)</t>
  </si>
  <si>
    <t>Puissance échangée (W)</t>
  </si>
  <si>
    <t>Puissance cumulée (W)</t>
  </si>
  <si>
    <t>Débit m3/h</t>
  </si>
  <si>
    <t>Longueur</t>
  </si>
  <si>
    <t>Dext</t>
  </si>
  <si>
    <t>e</t>
  </si>
  <si>
    <t>Nb Coudes</t>
  </si>
  <si>
    <t>K (coudes)</t>
  </si>
  <si>
    <t>K (linear)</t>
  </si>
  <si>
    <t>K total</t>
  </si>
  <si>
    <t>Kρv^2</t>
  </si>
  <si>
    <t>ΔP (mbar)</t>
  </si>
  <si>
    <r>
      <t>ρ</t>
    </r>
    <r>
      <rPr>
        <b/>
        <sz val="8.5"/>
        <color indexed="9"/>
        <rFont val="Arial"/>
        <family val="2"/>
      </rPr>
      <t xml:space="preserve"> </t>
    </r>
    <r>
      <rPr>
        <b/>
        <sz val="10"/>
        <color indexed="9"/>
        <rFont val="Arial"/>
        <family val="2"/>
      </rPr>
      <t>(kg/m3)</t>
    </r>
  </si>
  <si>
    <r>
      <t>m</t>
    </r>
    <r>
      <rPr>
        <b/>
        <sz val="10"/>
        <color indexed="9"/>
        <rFont val="Arial"/>
        <family val="2"/>
      </rPr>
      <t xml:space="preserve"> (Pa.s)</t>
    </r>
  </si>
  <si>
    <r>
      <t>l</t>
    </r>
    <r>
      <rPr>
        <b/>
        <sz val="10"/>
        <color indexed="9"/>
        <rFont val="Arial"/>
        <family val="2"/>
      </rPr>
      <t xml:space="preserve"> (Blasius)</t>
    </r>
  </si>
  <si>
    <r>
      <t>l</t>
    </r>
    <r>
      <rPr>
        <b/>
        <sz val="10"/>
        <color indexed="9"/>
        <rFont val="Arial"/>
        <family val="2"/>
      </rPr>
      <t xml:space="preserve"> (Colebrook)</t>
    </r>
  </si>
  <si>
    <t>Nm3/h</t>
  </si>
  <si>
    <t>Rho Norm</t>
  </si>
  <si>
    <t>kg/Nm3</t>
  </si>
  <si>
    <t>kg/h</t>
  </si>
  <si>
    <t>Lambda_</t>
  </si>
  <si>
    <t>W/m/K</t>
  </si>
  <si>
    <t>C2051-IWATE</t>
  </si>
  <si>
    <t>Helium Conversion L/h &lt;-&gt; g/s</t>
  </si>
  <si>
    <t>Equivalent 1L</t>
  </si>
  <si>
    <t>Working Time</t>
  </si>
  <si>
    <t>Regeneration time</t>
  </si>
  <si>
    <t>Additionnal flow for regeneration</t>
  </si>
  <si>
    <t>Flow to purify</t>
  </si>
  <si>
    <t xml:space="preserve">Dryer capacity </t>
  </si>
  <si>
    <t>Liquid Density (1,3 bar ; 4,4K)</t>
  </si>
  <si>
    <t>Gas Density(1 bar, 15°C)</t>
  </si>
  <si>
    <t>DRYER CAPCITY IN Sm3</t>
  </si>
  <si>
    <t>RHO EAU GLYCOLEE 30%</t>
  </si>
  <si>
    <t>Volume</t>
  </si>
  <si>
    <t>en 24 h</t>
  </si>
  <si>
    <t>Pressure (abs)</t>
  </si>
  <si>
    <t>Temperature (K)</t>
  </si>
  <si>
    <t>HEAT LOADS ON CRYO-SAB STORAGES</t>
  </si>
  <si>
    <t>XXXXXx</t>
  </si>
  <si>
    <t>XXXXXXXx</t>
  </si>
  <si>
    <t>XXXXXXXXXXXXXx</t>
  </si>
  <si>
    <t>C1192-DS-00X(0)</t>
  </si>
  <si>
    <t>RHEA</t>
  </si>
  <si>
    <t>4storages</t>
  </si>
  <si>
    <t xml:space="preserve">Vaporisation </t>
  </si>
  <si>
    <t>HEAT LOADS ON DISTRIBUTION</t>
  </si>
  <si>
    <t>Liquid</t>
  </si>
  <si>
    <t>Vapour</t>
  </si>
  <si>
    <t>Equivalent to 15,6 g/s</t>
  </si>
  <si>
    <t>Equivalent to 216g/s</t>
  </si>
  <si>
    <t>Isotherm heat losses (Liquid supply to storage)</t>
  </si>
  <si>
    <t>Adiabatic heat losses (Vapour returns)</t>
  </si>
  <si>
    <t>Heat Loads "available for lines"</t>
  </si>
  <si>
    <t xml:space="preserve">Rough Length : </t>
  </si>
  <si>
    <t>A/R</t>
  </si>
  <si>
    <t>Valves</t>
  </si>
  <si>
    <t>Vacuum Barrier</t>
  </si>
  <si>
    <t>Garner In/out</t>
  </si>
  <si>
    <t>W/elemnt</t>
  </si>
  <si>
    <t>total</t>
  </si>
  <si>
    <t>Flexibles</t>
  </si>
  <si>
    <t>Lines</t>
  </si>
  <si>
    <t>Mobiels Containers</t>
  </si>
  <si>
    <t>Estimation during bid</t>
  </si>
  <si>
    <t>~</t>
  </si>
  <si>
    <t>Estimation during project</t>
  </si>
  <si>
    <t>Length</t>
  </si>
  <si>
    <t>CRYO-AB INLET VALVE CLOSED (Thermal Expansion)</t>
  </si>
  <si>
    <t>T6 BY-PASS 100% OPEN</t>
  </si>
  <si>
    <t>Gas</t>
  </si>
  <si>
    <t>Normal Filling</t>
  </si>
  <si>
    <t>Q (m3/h)</t>
  </si>
  <si>
    <t>Max</t>
  </si>
  <si>
    <t>Nominal</t>
  </si>
  <si>
    <t>Masse volumique (gaz parfait)</t>
  </si>
  <si>
    <t>D</t>
  </si>
  <si>
    <t>S</t>
  </si>
  <si>
    <t>Maximal Allowable Working Pressure</t>
  </si>
  <si>
    <t>MAWP</t>
  </si>
  <si>
    <t>Absolute temperature at inlet</t>
  </si>
  <si>
    <t>k=Cp/Cv at 60F and 14.7 psia</t>
  </si>
  <si>
    <t>k</t>
  </si>
  <si>
    <t>C = constant versus(k)</t>
  </si>
  <si>
    <t>C</t>
  </si>
  <si>
    <t>Metric units</t>
  </si>
  <si>
    <t>US units</t>
  </si>
  <si>
    <t>Flow rating pressure</t>
  </si>
  <si>
    <t>Compressibility factor at flowing conditions</t>
  </si>
  <si>
    <t>Weight of dry air at 60°F and 14.7 psia</t>
  </si>
  <si>
    <t>Flow capacity of air</t>
  </si>
  <si>
    <t>Qa</t>
  </si>
  <si>
    <t>Wa</t>
  </si>
  <si>
    <t>Flow capacity of fluid</t>
  </si>
  <si>
    <t>Coefficient of discharge</t>
  </si>
  <si>
    <t>Area of safety device</t>
  </si>
  <si>
    <t>A</t>
  </si>
  <si>
    <t>Diameter of safety device</t>
  </si>
  <si>
    <t>DITRIBUTEURS RHEA</t>
  </si>
  <si>
    <t>Size</t>
  </si>
  <si>
    <t xml:space="preserve">Travel </t>
  </si>
  <si>
    <t>Section</t>
  </si>
  <si>
    <t>3% Section</t>
  </si>
  <si>
    <t>Turbine 1</t>
  </si>
  <si>
    <t>Turbine 2</t>
  </si>
  <si>
    <t>Turbine 3</t>
  </si>
  <si>
    <t>Turbine 4</t>
  </si>
  <si>
    <t>Turbine 5</t>
  </si>
  <si>
    <t>Turbine 6</t>
  </si>
  <si>
    <t>Diameter</t>
  </si>
  <si>
    <t>Alésage H7</t>
  </si>
  <si>
    <t>g6</t>
  </si>
  <si>
    <t>Point</t>
  </si>
  <si>
    <t>Seat</t>
  </si>
  <si>
    <t>Plug</t>
  </si>
  <si>
    <t>Delta</t>
  </si>
  <si>
    <t>DEPRESSURISATION  CLEAN TRUCK @ 300K</t>
  </si>
  <si>
    <t>Depressurisation time</t>
  </si>
  <si>
    <t>MIX 80K + 4,5K</t>
  </si>
  <si>
    <t>Cp 304
J/(kg-K)</t>
  </si>
  <si>
    <t>Losses</t>
  </si>
  <si>
    <t>Setting pressure</t>
  </si>
  <si>
    <t>PT(h)</t>
  </si>
  <si>
    <t>Tank</t>
  </si>
  <si>
    <t>time</t>
  </si>
  <si>
    <t>Kg to vaporize</t>
  </si>
  <si>
    <t>TIME BEFORE CRACKING PRESSURE</t>
  </si>
  <si>
    <t>D1</t>
  </si>
  <si>
    <t>U1/C0</t>
  </si>
  <si>
    <t>U1/C0 off de / U1/C0 nom</t>
  </si>
  <si>
    <t>u1</t>
  </si>
  <si>
    <t xml:space="preserve">Depressurisation of CRYO AB Tank  </t>
  </si>
  <si>
    <t>THERMAL DATA</t>
  </si>
  <si>
    <t>INOX 304 L</t>
  </si>
  <si>
    <t>Enthalpy 304L à 300K</t>
  </si>
  <si>
    <t>Enthalpy 304L à 150K</t>
  </si>
  <si>
    <t>Enthalpy 304L à 80K</t>
  </si>
  <si>
    <t>Enthalpy 304L à 4,5K</t>
  </si>
  <si>
    <t>Pipe</t>
  </si>
  <si>
    <t>Thickness</t>
  </si>
  <si>
    <t>Rho (304L)</t>
  </si>
  <si>
    <t>Mass</t>
  </si>
  <si>
    <t>Energy 300K-&gt; 4K</t>
  </si>
  <si>
    <t>Energy 300K-&gt; 80K</t>
  </si>
  <si>
    <t>Energy 300K-&gt; 150K</t>
  </si>
  <si>
    <t>MASS TO COOL DOWN</t>
  </si>
  <si>
    <t>Case 1 : Cool down performed trough the Truck</t>
  </si>
  <si>
    <t>Case 2 : Truck is by-passed</t>
  </si>
  <si>
    <t>Only the latent heat is used : 20 J/g</t>
  </si>
  <si>
    <t>Helium Liquid quantity needed :</t>
  </si>
  <si>
    <t>Latent heat + sensible heat are used : 20 J/g + cp(DT)</t>
  </si>
  <si>
    <t>MASS TO COOL DOWN WITH END OF PULLING</t>
  </si>
  <si>
    <t>m3</t>
  </si>
  <si>
    <t>kg</t>
  </si>
  <si>
    <t>Enthalpy 304L à 30K</t>
  </si>
  <si>
    <t>Energy 300K-&gt; 30K</t>
  </si>
  <si>
    <t>Length
(m)</t>
  </si>
  <si>
    <t>Water Volume
(L)</t>
  </si>
  <si>
    <t>Item</t>
  </si>
  <si>
    <t>Vol</t>
  </si>
  <si>
    <t>Filter 1</t>
  </si>
  <si>
    <t>Filter 2</t>
  </si>
  <si>
    <t>Charcoal</t>
  </si>
  <si>
    <t>OIL REMOVAL SYSTEM : HELIAL ML</t>
  </si>
  <si>
    <t>Internal Compressor Volume  (CSDX)</t>
  </si>
  <si>
    <t>H / L</t>
  </si>
  <si>
    <t>LP Line</t>
  </si>
  <si>
    <t>PRESSURE NEEDED IN THE BUFFER :Warm Compressor Start Up</t>
  </si>
  <si>
    <t>Vbp * Pbp + Vhp * Php + x = 1,05*Vbp + Vhp*15</t>
  </si>
  <si>
    <t>x = (1,05-Pbp)*Vbp + (15 - Php)*Vhp</t>
  </si>
  <si>
    <t>x =Vbuffer*Delta P</t>
  </si>
  <si>
    <t>Filtre 100 microns 4"</t>
  </si>
  <si>
    <t>Filtre Novintec</t>
  </si>
  <si>
    <t xml:space="preserve">Strorages Heat Loads </t>
  </si>
  <si>
    <t>Watt per meter with valves</t>
  </si>
  <si>
    <t>Mobiles Containers</t>
  </si>
  <si>
    <t>rho*V²/2</t>
  </si>
  <si>
    <t>Cp/Cv</t>
  </si>
  <si>
    <t>xxx</t>
  </si>
  <si>
    <t>CXXX</t>
  </si>
  <si>
    <t>XXXX</t>
  </si>
  <si>
    <t>KXXX</t>
  </si>
  <si>
    <t>CKXX</t>
  </si>
  <si>
    <t>KKXX</t>
  </si>
  <si>
    <t>T HX01</t>
  </si>
  <si>
    <t>Tin T3</t>
  </si>
  <si>
    <t>xvap</t>
  </si>
  <si>
    <t>T6</t>
  </si>
  <si>
    <t>Liq</t>
  </si>
  <si>
    <t>Net to Truck</t>
  </si>
  <si>
    <t>Rho gaz</t>
  </si>
  <si>
    <t>Rho Liq</t>
  </si>
  <si>
    <t>Piston effect :</t>
  </si>
  <si>
    <t>Rho gas</t>
  </si>
  <si>
    <t xml:space="preserve">Rho gas </t>
  </si>
  <si>
    <t>Boiling Point</t>
  </si>
  <si>
    <t>Triple Point</t>
  </si>
  <si>
    <t>Critical Pressure</t>
  </si>
  <si>
    <t>Critical Temperature</t>
  </si>
  <si>
    <t>losses</t>
  </si>
  <si>
    <t>h_out</t>
  </si>
  <si>
    <t xml:space="preserve">P = </t>
  </si>
  <si>
    <t xml:space="preserve">T = </t>
  </si>
  <si>
    <t xml:space="preserve">h_in = </t>
  </si>
  <si>
    <t xml:space="preserve">Power input = </t>
  </si>
  <si>
    <t xml:space="preserve">Power output = </t>
  </si>
  <si>
    <t xml:space="preserve">h_out = </t>
  </si>
  <si>
    <t>Evaporation</t>
  </si>
  <si>
    <t xml:space="preserve">Project Name: </t>
  </si>
  <si>
    <t xml:space="preserve">ALE Project: </t>
  </si>
  <si>
    <t>51-3428</t>
  </si>
  <si>
    <t xml:space="preserve">DTA Project: </t>
  </si>
  <si>
    <t>C1192</t>
  </si>
  <si>
    <t>GEFI proposal n°</t>
  </si>
  <si>
    <t>Date:</t>
  </si>
  <si>
    <t>Blower type PD + 3206 performances</t>
  </si>
  <si>
    <t>Working parametres at relief pressure</t>
  </si>
  <si>
    <t>Flowrate</t>
  </si>
  <si>
    <t>Blower rotative speed</t>
  </si>
  <si>
    <t>Inlet t°</t>
  </si>
  <si>
    <t>Inlet P</t>
  </si>
  <si>
    <t>Outlet t°</t>
  </si>
  <si>
    <t>Pressure rise</t>
  </si>
  <si>
    <t>Outlet P</t>
  </si>
  <si>
    <t>Abs power at blower shaft</t>
  </si>
  <si>
    <t>Estimated Noise Level</t>
  </si>
  <si>
    <t>Outlet t° at relief</t>
  </si>
  <si>
    <t>Relief pressure</t>
  </si>
  <si>
    <t>Abs power at blower shaft at relief P</t>
  </si>
  <si>
    <t>rpm</t>
  </si>
  <si>
    <t>mbar a</t>
  </si>
  <si>
    <t>dB(A)</t>
  </si>
  <si>
    <t>Comments:</t>
  </si>
  <si>
    <r>
      <t xml:space="preserve">The minimum rotation speed of is defined by the correct cooling of the motor (without using a motor forced ventilation). This minimal speed corresponds to working parametres with He at 100 Nm3/h, -5°C inlet temperature and 25 mbar conter pressure: </t>
    </r>
    <r>
      <rPr>
        <b/>
        <i/>
        <u/>
        <sz val="8"/>
        <color indexed="8"/>
        <rFont val="Calibri"/>
        <family val="2"/>
      </rPr>
      <t>1447 rpm.</t>
    </r>
  </si>
  <si>
    <t>The maximal allowable outlet temperature is 140°C.</t>
  </si>
  <si>
    <t>The maximum operating pressure is defined by the maximum outlet temperature.</t>
  </si>
  <si>
    <t>Rho Normal</t>
  </si>
  <si>
    <t>Rho in</t>
  </si>
  <si>
    <t>m3/h from speed</t>
  </si>
  <si>
    <t>T increase adiab</t>
  </si>
  <si>
    <t>dP mbar</t>
  </si>
</sst>
</file>

<file path=xl/styles.xml><?xml version="1.0" encoding="utf-8"?>
<styleSheet xmlns="http://schemas.openxmlformats.org/spreadsheetml/2006/main">
  <numFmts count="136">
    <numFmt numFmtId="164" formatCode="_(* #,##0.00_);_(* \(#,##0.00\);_(* &quot;-&quot;??_);_(@_)"/>
    <numFmt numFmtId="165" formatCode="0.000"/>
    <numFmt numFmtId="166" formatCode="0.0000"/>
    <numFmt numFmtId="167" formatCode="0.0"/>
    <numFmt numFmtId="168" formatCode="0.000E+00"/>
    <numFmt numFmtId="169" formatCode="0.0000E+00"/>
    <numFmt numFmtId="170" formatCode="#,##0.0"/>
    <numFmt numFmtId="171" formatCode="#,##0.000"/>
    <numFmt numFmtId="172" formatCode="#,##0.0000000"/>
    <numFmt numFmtId="173" formatCode="0.0%"/>
    <numFmt numFmtId="174" formatCode="#,##0&quot; mbar&quot;"/>
    <numFmt numFmtId="175" formatCode="#,##0.00&quot; mbar&quot;"/>
    <numFmt numFmtId="176" formatCode="0.00\ &quot;bar&quot;"/>
    <numFmt numFmtId="177" formatCode="0.00\ &quot;g/s&quot;"/>
    <numFmt numFmtId="178" formatCode="0.00\ &quot;mbar&quot;"/>
    <numFmt numFmtId="179" formatCode="0\ &quot;mbar&quot;"/>
    <numFmt numFmtId="180" formatCode="0.000\ &quot;bar&quot;"/>
    <numFmt numFmtId="181" formatCode="0.000\ &quot;mbar&quot;"/>
    <numFmt numFmtId="182" formatCode="0.00\ &quot;K&quot;"/>
    <numFmt numFmtId="183" formatCode="0.00\ &quot;kg/m3&quot;"/>
    <numFmt numFmtId="184" formatCode="0.00E+00;\Ĭ"/>
    <numFmt numFmtId="185" formatCode="#,##0.00\ _€"/>
    <numFmt numFmtId="186" formatCode="0\ &quot;K&quot;"/>
    <numFmt numFmtId="187" formatCode="&quot;DN&quot;\ 0"/>
    <numFmt numFmtId="188" formatCode="&quot;PN&quot;\ 0"/>
    <numFmt numFmtId="189" formatCode="0.0\ &quot;m/s&quot;"/>
    <numFmt numFmtId="190" formatCode="0.0\ &quot;mm&quot;"/>
    <numFmt numFmtId="191" formatCode="0.0E+00"/>
    <numFmt numFmtId="192" formatCode="0.0E+00\ &quot;Pa.s&quot;"/>
    <numFmt numFmtId="193" formatCode="0\ &quot;m&quot;"/>
    <numFmt numFmtId="194" formatCode="0.0\ &quot;mbar&quot;"/>
    <numFmt numFmtId="195" formatCode="0\ &quot;Pa&quot;"/>
    <numFmt numFmtId="196" formatCode="0.0\ &quot;mbar/m&quot;"/>
    <numFmt numFmtId="197" formatCode="0.0\ &quot;g/s&quot;"/>
    <numFmt numFmtId="198" formatCode="General_)"/>
    <numFmt numFmtId="199" formatCode="0.00\ &quot;m3/h&quot;"/>
    <numFmt numFmtId="200" formatCode="0.00\ &quot;m/s&quot;"/>
    <numFmt numFmtId="201" formatCode="0.00\ &quot;mm&quot;"/>
    <numFmt numFmtId="202" formatCode="0.0\ &quot;K&quot;"/>
    <numFmt numFmtId="203" formatCode="0.0\ &quot;bara&quot;"/>
    <numFmt numFmtId="204" formatCode="0.0\ &quot;°C&quot;"/>
    <numFmt numFmtId="205" formatCode="0.00\ &quot;L/min&quot;"/>
    <numFmt numFmtId="206" formatCode="0.0\ &quot;J/g&quot;"/>
    <numFmt numFmtId="207" formatCode="#,##0.00\ &quot;W&quot;"/>
    <numFmt numFmtId="208" formatCode="0,000.00\ &quot;L/min&quot;"/>
    <numFmt numFmtId="209" formatCode="0,000\ &quot;L/min&quot;"/>
    <numFmt numFmtId="210" formatCode="0.00\ &quot;bara&quot;"/>
    <numFmt numFmtId="211" formatCode="#,##0.00\ &quot;l/min&quot;"/>
    <numFmt numFmtId="212" formatCode="#,##0.00\ &quot;bars&quot;"/>
    <numFmt numFmtId="213" formatCode="General&quot; kg/m3&quot;"/>
    <numFmt numFmtId="214" formatCode="General&quot; L&quot;"/>
    <numFmt numFmtId="215" formatCode="General&quot; h&quot;"/>
    <numFmt numFmtId="216" formatCode="General&quot; Sm3&quot;"/>
    <numFmt numFmtId="217" formatCode="0.0000000000"/>
    <numFmt numFmtId="218" formatCode="General&quot; L/h&quot;"/>
    <numFmt numFmtId="219" formatCode="General&quot; Sm3/h&quot;"/>
    <numFmt numFmtId="220" formatCode="0.000&quot; kg/Sm3&quot;"/>
    <numFmt numFmtId="221" formatCode="0.00&quot; g/s&quot;"/>
    <numFmt numFmtId="222" formatCode="0,000\ &quot;L&quot;"/>
    <numFmt numFmtId="223" formatCode="0.00\ &quot;g/L&quot;"/>
    <numFmt numFmtId="224" formatCode="0.00\ &quot;b&quot;"/>
    <numFmt numFmtId="225" formatCode="General\ &quot;W/m&quot;"/>
    <numFmt numFmtId="226" formatCode="0.00\ &quot;W&quot;"/>
    <numFmt numFmtId="227" formatCode="0.00\ &quot;J/g&quot;"/>
    <numFmt numFmtId="228" formatCode="0\ &quot;W&quot;"/>
    <numFmt numFmtId="229" formatCode="0.00\ &quot;W/m&quot;"/>
    <numFmt numFmtId="230" formatCode="0&quot; m&quot;"/>
    <numFmt numFmtId="231" formatCode="General&quot; m&quot;"/>
    <numFmt numFmtId="232" formatCode="General&quot; mm&quot;"/>
    <numFmt numFmtId="233" formatCode="0.0000&quot; m3&quot;"/>
    <numFmt numFmtId="234" formatCode="General&quot; bar a&quot;"/>
    <numFmt numFmtId="235" formatCode="General&quot; g/s&quot;"/>
    <numFmt numFmtId="236" formatCode="General&quot; kg/h&quot;"/>
    <numFmt numFmtId="237" formatCode="0.00&quot; m3/h&quot;"/>
    <numFmt numFmtId="238" formatCode="General&quot; K&quot;"/>
    <numFmt numFmtId="239" formatCode="General&quot; bar abs&quot;"/>
    <numFmt numFmtId="240" formatCode="General&quot; mm2&quot;"/>
    <numFmt numFmtId="241" formatCode="General&quot; kg/Nm3&quot;"/>
    <numFmt numFmtId="242" formatCode="#,##0&quot; kg/h&quot;"/>
    <numFmt numFmtId="243" formatCode="#,##0&quot; g/s&quot;"/>
    <numFmt numFmtId="244" formatCode="#,##0.00&quot; g/mol&quot;"/>
    <numFmt numFmtId="245" formatCode="#,##0.00&quot; bars g&quot;"/>
    <numFmt numFmtId="246" formatCode="#,##0.00&quot; Psia&quot;"/>
    <numFmt numFmtId="247" formatCode="#,##0.00&quot; bars abs&quot;"/>
    <numFmt numFmtId="248" formatCode="#,##0.00&quot; K&quot;"/>
    <numFmt numFmtId="249" formatCode="#,##0.00&quot; R&quot;"/>
    <numFmt numFmtId="250" formatCode="#,##0.00&quot; kg/m3&quot;"/>
    <numFmt numFmtId="251" formatCode="#,##0.00&quot; lb/ft3&quot;"/>
    <numFmt numFmtId="252" formatCode="#,##0.00&quot; m3/h&quot;"/>
    <numFmt numFmtId="253" formatCode="#,##0.00&quot; SCFM of air&quot;"/>
    <numFmt numFmtId="254" formatCode="#,##0.00&quot; kg/h&quot;"/>
    <numFmt numFmtId="255" formatCode="#,##0.00&quot; lb/h&quot;"/>
    <numFmt numFmtId="256" formatCode="#,##0.00&quot; mm2&quot;"/>
    <numFmt numFmtId="257" formatCode="#,##0.00&quot; in2&quot;"/>
    <numFmt numFmtId="258" formatCode="#,##0.00&quot; mm&quot;"/>
    <numFmt numFmtId="259" formatCode="#,##0.00&quot; in&quot;"/>
    <numFmt numFmtId="260" formatCode="General&quot; mm²&quot;"/>
    <numFmt numFmtId="261" formatCode="&quot;+&quot;0.00"/>
    <numFmt numFmtId="262" formatCode="0.00&quot; mm²&quot;"/>
    <numFmt numFmtId="263" formatCode="0.00&quot; m3&quot;"/>
    <numFmt numFmtId="264" formatCode="0.000&quot; kg/m3&quot;"/>
    <numFmt numFmtId="265" formatCode="0.00&quot; kg&quot;"/>
    <numFmt numFmtId="266" formatCode="0.00&quot; h&quot;"/>
    <numFmt numFmtId="267" formatCode="0.00&quot; kg/h&quot;"/>
    <numFmt numFmtId="268" formatCode="0.00&quot; bars&quot;"/>
    <numFmt numFmtId="269" formatCode="0.00&quot; K&quot;"/>
    <numFmt numFmtId="270" formatCode="0.00&quot; kg/m3&quot;"/>
    <numFmt numFmtId="271" formatCode="General&quot; m3&quot;"/>
    <numFmt numFmtId="272" formatCode="#,##0.00&quot; Kg&quot;"/>
    <numFmt numFmtId="273" formatCode="0.00&quot; J/g&quot;"/>
    <numFmt numFmtId="274" formatCode="0.00&quot; m/s&quot;"/>
    <numFmt numFmtId="275" formatCode="0.000&quot; m&quot;"/>
    <numFmt numFmtId="276" formatCode="0.00&quot; mbar&quot;"/>
    <numFmt numFmtId="277" formatCode="#,##0.00&quot; kg&quot;"/>
    <numFmt numFmtId="278" formatCode="#,##0&quot; j/kg&quot;"/>
    <numFmt numFmtId="279" formatCode="General&quot; kg&quot;"/>
    <numFmt numFmtId="280" formatCode="#,##0&quot; kJ&quot;"/>
    <numFmt numFmtId="281" formatCode="#,##0.00&quot; L&quot;"/>
    <numFmt numFmtId="282" formatCode="#,##0.00&quot; g&quot;"/>
    <numFmt numFmtId="283" formatCode="0.00\ &quot;m3&quot;"/>
    <numFmt numFmtId="284" formatCode="0.00\ &quot;kg&quot;"/>
    <numFmt numFmtId="285" formatCode="0.00\ &quot;g&quot;"/>
    <numFmt numFmtId="286" formatCode="#,##0.00\ &quot;l&quot;"/>
    <numFmt numFmtId="287" formatCode="0.00000"/>
    <numFmt numFmtId="288" formatCode="#,##0.00&quot; J/g&quot;"/>
    <numFmt numFmtId="289" formatCode="0&quot; °C&quot;"/>
    <numFmt numFmtId="290" formatCode="0.0&quot; K&quot;"/>
    <numFmt numFmtId="291" formatCode="0.00&quot; b&quot;"/>
    <numFmt numFmtId="292" formatCode="0.0000&quot; b&quot;"/>
    <numFmt numFmtId="293" formatCode="0.00&quot; g/L&quot;"/>
    <numFmt numFmtId="294" formatCode="0.00&quot; g/NL&quot;"/>
    <numFmt numFmtId="295" formatCode="0.0&quot; b&quot;"/>
    <numFmt numFmtId="296" formatCode="#,##0&quot; W&quot;"/>
    <numFmt numFmtId="297" formatCode="General&quot; W/m&quot;"/>
    <numFmt numFmtId="298" formatCode="#,##0.00&quot; g/L&quot;"/>
    <numFmt numFmtId="299" formatCode="[$-409]mmmm\ d\,\ yyyy;@"/>
  </numFmts>
  <fonts count="93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Times New Roman"/>
      <family val="1"/>
    </font>
    <font>
      <sz val="10"/>
      <color indexed="10"/>
      <name val="Symbol"/>
      <family val="1"/>
      <charset val="2"/>
    </font>
    <font>
      <sz val="10"/>
      <name val="Times New Roman"/>
      <family val="1"/>
    </font>
    <font>
      <b/>
      <sz val="12"/>
      <name val="Arial"/>
      <family val="2"/>
    </font>
    <font>
      <sz val="10"/>
      <name val="Courier New"/>
      <family val="3"/>
    </font>
    <font>
      <sz val="10"/>
      <color indexed="12"/>
      <name val="Arial"/>
      <family val="2"/>
    </font>
    <font>
      <sz val="10"/>
      <name val="Symbol"/>
      <family val="1"/>
      <charset val="2"/>
    </font>
    <font>
      <b/>
      <sz val="10"/>
      <color indexed="9"/>
      <name val="Arial"/>
      <family val="2"/>
    </font>
    <font>
      <i/>
      <vertAlign val="subscript"/>
      <sz val="10"/>
      <name val="Arial"/>
      <family val="2"/>
    </font>
    <font>
      <sz val="10"/>
      <color indexed="10"/>
      <name val="Arial"/>
      <family val="2"/>
    </font>
    <font>
      <vertAlign val="subscript"/>
      <sz val="10"/>
      <name val="Arial"/>
      <family val="2"/>
    </font>
    <font>
      <sz val="12"/>
      <name val="Times New Roman"/>
      <family val="1"/>
    </font>
    <font>
      <i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4"/>
      <name val="Arial"/>
      <family val="2"/>
    </font>
    <font>
      <sz val="7.5"/>
      <color indexed="8"/>
      <name val="Verdana"/>
      <family val="2"/>
    </font>
    <font>
      <sz val="8"/>
      <color indexed="8"/>
      <name val="Arial"/>
      <family val="2"/>
    </font>
    <font>
      <b/>
      <sz val="8"/>
      <color indexed="9"/>
      <name val="Arial Bold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48"/>
      <name val="Arial"/>
      <family val="2"/>
    </font>
    <font>
      <sz val="10"/>
      <color indexed="8"/>
      <name val="Arial"/>
      <family val="2"/>
    </font>
    <font>
      <b/>
      <sz val="10"/>
      <name val="Symbol"/>
      <family val="1"/>
      <charset val="2"/>
    </font>
    <font>
      <b/>
      <sz val="16"/>
      <name val="Arial"/>
      <family val="2"/>
    </font>
    <font>
      <sz val="10"/>
      <color indexed="12"/>
      <name val="Times New Roman"/>
      <family val="1"/>
    </font>
    <font>
      <sz val="10"/>
      <color indexed="12"/>
      <name val="Wingdings"/>
      <charset val="2"/>
    </font>
    <font>
      <sz val="10"/>
      <color indexed="12"/>
      <name val="Symbol"/>
      <family val="1"/>
      <charset val="2"/>
    </font>
    <font>
      <vertAlign val="subscript"/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b/>
      <sz val="10"/>
      <color indexed="10"/>
      <name val="Symbol"/>
      <family val="1"/>
      <charset val="2"/>
    </font>
    <font>
      <b/>
      <sz val="10"/>
      <color indexed="9"/>
      <name val="Symbol"/>
      <family val="1"/>
      <charset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56"/>
      <name val="Arial"/>
      <family val="2"/>
    </font>
    <font>
      <sz val="12"/>
      <color indexed="17"/>
      <name val="Arial"/>
      <family val="2"/>
    </font>
    <font>
      <sz val="11"/>
      <name val="Times New Roman"/>
      <family val="1"/>
    </font>
    <font>
      <sz val="11"/>
      <name val="Verdana"/>
      <family val="2"/>
    </font>
    <font>
      <b/>
      <sz val="11"/>
      <name val="Times New Roman"/>
      <family val="1"/>
    </font>
    <font>
      <sz val="10"/>
      <name val="Tahoma"/>
      <family val="2"/>
    </font>
    <font>
      <b/>
      <sz val="12"/>
      <color indexed="9"/>
      <name val="Arial"/>
      <family val="2"/>
    </font>
    <font>
      <b/>
      <sz val="8.5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0"/>
      <color indexed="56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sz val="10"/>
      <name val="Arial"/>
      <family val="2"/>
    </font>
    <font>
      <b/>
      <i/>
      <u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5" fillId="0" borderId="0"/>
    <xf numFmtId="9" fontId="1" fillId="0" borderId="0" applyFont="0" applyFill="0" applyBorder="0" applyAlignment="0" applyProtection="0"/>
  </cellStyleXfs>
  <cellXfs count="1277">
    <xf numFmtId="0" fontId="0" fillId="0" borderId="0" xfId="0"/>
    <xf numFmtId="0" fontId="0" fillId="2" borderId="1" xfId="0" applyFill="1" applyBorder="1" applyProtection="1"/>
    <xf numFmtId="0" fontId="4" fillId="2" borderId="2" xfId="0" applyFont="1" applyFill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Continuous"/>
    </xf>
    <xf numFmtId="0" fontId="0" fillId="0" borderId="0" xfId="0" applyProtection="1"/>
    <xf numFmtId="0" fontId="3" fillId="3" borderId="4" xfId="0" applyFont="1" applyFill="1" applyBorder="1" applyProtection="1"/>
    <xf numFmtId="0" fontId="3" fillId="0" borderId="4" xfId="0" applyFont="1" applyFill="1" applyBorder="1" applyProtection="1"/>
    <xf numFmtId="0" fontId="3" fillId="3" borderId="5" xfId="0" applyFont="1" applyFill="1" applyBorder="1" applyProtection="1"/>
    <xf numFmtId="0" fontId="3" fillId="0" borderId="5" xfId="0" applyFont="1" applyFill="1" applyBorder="1" applyProtection="1"/>
    <xf numFmtId="0" fontId="2" fillId="0" borderId="4" xfId="2" applyBorder="1" applyProtection="1"/>
    <xf numFmtId="0" fontId="2" fillId="3" borderId="4" xfId="2" applyFill="1" applyBorder="1" applyProtection="1"/>
    <xf numFmtId="0" fontId="2" fillId="0" borderId="0" xfId="2" applyProtection="1"/>
    <xf numFmtId="0" fontId="2" fillId="0" borderId="0" xfId="2"/>
    <xf numFmtId="0" fontId="2" fillId="0" borderId="0" xfId="2" applyFill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7" xfId="0" applyBorder="1"/>
    <xf numFmtId="0" fontId="7" fillId="0" borderId="6" xfId="0" applyFont="1" applyFill="1" applyBorder="1" applyAlignment="1">
      <alignment horizontal="left"/>
    </xf>
    <xf numFmtId="0" fontId="7" fillId="0" borderId="0" xfId="0" applyFont="1" applyBorder="1"/>
    <xf numFmtId="0" fontId="7" fillId="0" borderId="6" xfId="0" applyFont="1" applyFill="1" applyBorder="1"/>
    <xf numFmtId="0" fontId="7" fillId="0" borderId="0" xfId="0" applyFont="1" applyFill="1" applyBorder="1" applyAlignment="1"/>
    <xf numFmtId="0" fontId="14" fillId="0" borderId="6" xfId="0" applyFont="1" applyBorder="1"/>
    <xf numFmtId="2" fontId="14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6" xfId="0" applyFont="1" applyFill="1" applyBorder="1"/>
    <xf numFmtId="0" fontId="14" fillId="0" borderId="0" xfId="0" applyFont="1" applyBorder="1" applyAlignment="1">
      <alignment horizontal="left" vertical="center"/>
    </xf>
    <xf numFmtId="0" fontId="14" fillId="0" borderId="6" xfId="0" applyFont="1" applyFill="1" applyBorder="1"/>
    <xf numFmtId="11" fontId="14" fillId="0" borderId="0" xfId="0" applyNumberFormat="1" applyFont="1" applyBorder="1"/>
    <xf numFmtId="0" fontId="14" fillId="0" borderId="6" xfId="0" applyFon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14" fillId="0" borderId="0" xfId="0" applyNumberFormat="1" applyFont="1" applyBorder="1" applyAlignment="1">
      <alignment horizontal="right"/>
    </xf>
    <xf numFmtId="165" fontId="14" fillId="0" borderId="0" xfId="0" quotePrefix="1" applyNumberFormat="1" applyFont="1" applyBorder="1" applyAlignment="1">
      <alignment horizontal="left"/>
    </xf>
    <xf numFmtId="165" fontId="14" fillId="0" borderId="0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65" fontId="14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65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165" fontId="0" fillId="0" borderId="0" xfId="0" applyNumberFormat="1" applyAlignment="1">
      <alignment horizontal="center"/>
    </xf>
    <xf numFmtId="0" fontId="8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11" xfId="0" applyFont="1" applyBorder="1" applyAlignment="1">
      <alignment horizontal="right"/>
    </xf>
    <xf numFmtId="169" fontId="5" fillId="0" borderId="11" xfId="0" applyNumberFormat="1" applyFont="1" applyBorder="1" applyAlignment="1">
      <alignment horizontal="center"/>
    </xf>
    <xf numFmtId="0" fontId="13" fillId="0" borderId="12" xfId="0" applyFont="1" applyBorder="1" applyAlignment="1">
      <alignment horizontal="right"/>
    </xf>
    <xf numFmtId="169" fontId="5" fillId="0" borderId="12" xfId="0" applyNumberFormat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1" fontId="19" fillId="0" borderId="4" xfId="0" applyNumberFormat="1" applyFont="1" applyBorder="1"/>
    <xf numFmtId="169" fontId="13" fillId="0" borderId="13" xfId="0" applyNumberFormat="1" applyFont="1" applyBorder="1" applyAlignment="1">
      <alignment horizontal="center"/>
    </xf>
    <xf numFmtId="169" fontId="5" fillId="0" borderId="13" xfId="0" applyNumberFormat="1" applyFont="1" applyBorder="1" applyAlignment="1">
      <alignment horizontal="center"/>
    </xf>
    <xf numFmtId="0" fontId="13" fillId="0" borderId="14" xfId="0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0" fillId="0" borderId="16" xfId="0" applyBorder="1"/>
    <xf numFmtId="169" fontId="5" fillId="0" borderId="16" xfId="0" applyNumberFormat="1" applyFont="1" applyBorder="1" applyAlignment="1">
      <alignment horizontal="center"/>
    </xf>
    <xf numFmtId="0" fontId="13" fillId="0" borderId="17" xfId="0" applyFont="1" applyBorder="1" applyAlignment="1">
      <alignment horizontal="right"/>
    </xf>
    <xf numFmtId="0" fontId="13" fillId="4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69" fontId="13" fillId="4" borderId="9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right"/>
    </xf>
    <xf numFmtId="169" fontId="19" fillId="0" borderId="0" xfId="0" applyNumberFormat="1" applyFont="1" applyBorder="1"/>
    <xf numFmtId="0" fontId="0" fillId="0" borderId="22" xfId="0" applyBorder="1"/>
    <xf numFmtId="0" fontId="0" fillId="0" borderId="21" xfId="0" applyBorder="1"/>
    <xf numFmtId="1" fontId="0" fillId="0" borderId="0" xfId="0" applyNumberFormat="1"/>
    <xf numFmtId="0" fontId="0" fillId="0" borderId="15" xfId="0" applyBorder="1"/>
    <xf numFmtId="0" fontId="0" fillId="0" borderId="17" xfId="0" applyBorder="1"/>
    <xf numFmtId="0" fontId="0" fillId="5" borderId="0" xfId="0" applyFill="1" applyAlignment="1">
      <alignment horizontal="center" vertical="center"/>
    </xf>
    <xf numFmtId="0" fontId="22" fillId="6" borderId="0" xfId="0" applyFont="1" applyFill="1"/>
    <xf numFmtId="0" fontId="0" fillId="6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13" fillId="0" borderId="0" xfId="0" applyNumberFormat="1" applyFont="1" applyAlignment="1">
      <alignment horizontal="center"/>
    </xf>
    <xf numFmtId="0" fontId="0" fillId="5" borderId="0" xfId="0" applyFill="1" applyBorder="1"/>
    <xf numFmtId="0" fontId="13" fillId="5" borderId="0" xfId="0" applyFont="1" applyFill="1"/>
    <xf numFmtId="0" fontId="0" fillId="5" borderId="0" xfId="0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9" fillId="0" borderId="0" xfId="0" applyNumberFormat="1" applyFont="1" applyFill="1" applyBorder="1" applyAlignment="1">
      <alignment horizontal="center"/>
    </xf>
    <xf numFmtId="11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5" fontId="20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11" fontId="0" fillId="0" borderId="0" xfId="0" applyNumberFormat="1"/>
    <xf numFmtId="168" fontId="0" fillId="0" borderId="0" xfId="0" applyNumberFormat="1"/>
    <xf numFmtId="0" fontId="20" fillId="0" borderId="0" xfId="0" applyFont="1"/>
    <xf numFmtId="0" fontId="0" fillId="0" borderId="0" xfId="0" applyFill="1"/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1" fillId="4" borderId="0" xfId="0" applyFont="1" applyFill="1"/>
    <xf numFmtId="0" fontId="22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0" fontId="13" fillId="0" borderId="0" xfId="0" applyFont="1"/>
    <xf numFmtId="3" fontId="0" fillId="0" borderId="23" xfId="0" applyNumberFormat="1" applyBorder="1" applyAlignment="1">
      <alignment horizontal="center" vertical="top" wrapText="1"/>
    </xf>
    <xf numFmtId="2" fontId="13" fillId="5" borderId="0" xfId="0" applyNumberFormat="1" applyFont="1" applyFill="1" applyAlignment="1">
      <alignment horizontal="center" vertical="center"/>
    </xf>
    <xf numFmtId="0" fontId="0" fillId="0" borderId="24" xfId="0" applyBorder="1" applyAlignment="1">
      <alignment horizontal="center" vertical="top" wrapText="1"/>
    </xf>
    <xf numFmtId="3" fontId="0" fillId="0" borderId="24" xfId="0" applyNumberFormat="1" applyBorder="1" applyAlignment="1">
      <alignment horizontal="center" vertical="top" wrapText="1"/>
    </xf>
    <xf numFmtId="4" fontId="0" fillId="0" borderId="24" xfId="0" applyNumberFormat="1" applyBorder="1" applyAlignment="1">
      <alignment horizontal="center" vertical="top" wrapText="1"/>
    </xf>
    <xf numFmtId="0" fontId="0" fillId="0" borderId="25" xfId="0" applyBorder="1"/>
    <xf numFmtId="0" fontId="0" fillId="0" borderId="14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170" fontId="6" fillId="8" borderId="4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1" fontId="6" fillId="8" borderId="4" xfId="0" applyNumberFormat="1" applyFont="1" applyFill="1" applyBorder="1" applyAlignment="1">
      <alignment horizontal="center"/>
    </xf>
    <xf numFmtId="0" fontId="26" fillId="0" borderId="25" xfId="0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27" fillId="8" borderId="29" xfId="0" applyFont="1" applyFill="1" applyBorder="1" applyAlignment="1">
      <alignment horizontal="center"/>
    </xf>
    <xf numFmtId="3" fontId="6" fillId="8" borderId="29" xfId="0" applyNumberFormat="1" applyFont="1" applyFill="1" applyBorder="1" applyAlignment="1">
      <alignment horizontal="center"/>
    </xf>
    <xf numFmtId="164" fontId="14" fillId="0" borderId="29" xfId="1" applyFont="1" applyFill="1" applyBorder="1" applyAlignment="1">
      <alignment horizontal="center"/>
    </xf>
    <xf numFmtId="4" fontId="0" fillId="0" borderId="29" xfId="0" applyNumberFormat="1" applyFill="1" applyBorder="1" applyAlignment="1">
      <alignment horizontal="center"/>
    </xf>
    <xf numFmtId="0" fontId="26" fillId="0" borderId="30" xfId="0" applyFont="1" applyFill="1" applyBorder="1" applyAlignment="1">
      <alignment horizontal="left"/>
    </xf>
    <xf numFmtId="0" fontId="0" fillId="5" borderId="0" xfId="0" applyFill="1" applyAlignment="1">
      <alignment horizontal="left" indent="1"/>
    </xf>
    <xf numFmtId="0" fontId="11" fillId="5" borderId="0" xfId="0" applyFont="1" applyFill="1" applyAlignment="1">
      <alignment horizontal="center" vertical="center"/>
    </xf>
    <xf numFmtId="2" fontId="0" fillId="5" borderId="0" xfId="0" applyNumberFormat="1" applyFill="1"/>
    <xf numFmtId="2" fontId="13" fillId="5" borderId="0" xfId="0" applyNumberFormat="1" applyFont="1" applyFill="1" applyAlignment="1">
      <alignment horizontal="right" vertical="center"/>
    </xf>
    <xf numFmtId="2" fontId="11" fillId="5" borderId="0" xfId="0" applyNumberFormat="1" applyFont="1" applyFill="1" applyAlignment="1">
      <alignment horizontal="right" vertical="center"/>
    </xf>
    <xf numFmtId="0" fontId="11" fillId="5" borderId="0" xfId="0" applyFon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0" fillId="9" borderId="22" xfId="0" applyFill="1" applyBorder="1"/>
    <xf numFmtId="0" fontId="0" fillId="9" borderId="15" xfId="0" applyFill="1" applyBorder="1"/>
    <xf numFmtId="0" fontId="0" fillId="9" borderId="16" xfId="0" applyFill="1" applyBorder="1"/>
    <xf numFmtId="0" fontId="11" fillId="5" borderId="16" xfId="0" applyFont="1" applyFill="1" applyBorder="1" applyAlignment="1">
      <alignment horizontal="center" vertical="center"/>
    </xf>
    <xf numFmtId="0" fontId="0" fillId="5" borderId="16" xfId="0" applyFill="1" applyBorder="1"/>
    <xf numFmtId="2" fontId="0" fillId="5" borderId="16" xfId="0" applyNumberFormat="1" applyFill="1" applyBorder="1" applyAlignment="1">
      <alignment horizontal="center" vertical="center"/>
    </xf>
    <xf numFmtId="4" fontId="9" fillId="8" borderId="17" xfId="0" applyNumberFormat="1" applyFont="1" applyFill="1" applyBorder="1"/>
    <xf numFmtId="0" fontId="13" fillId="5" borderId="16" xfId="0" applyFont="1" applyFill="1" applyBorder="1"/>
    <xf numFmtId="0" fontId="22" fillId="5" borderId="0" xfId="0" applyFont="1" applyFill="1"/>
    <xf numFmtId="0" fontId="13" fillId="5" borderId="0" xfId="0" applyFont="1" applyFill="1" applyBorder="1"/>
    <xf numFmtId="0" fontId="22" fillId="5" borderId="16" xfId="0" applyFont="1" applyFill="1" applyBorder="1"/>
    <xf numFmtId="2" fontId="0" fillId="5" borderId="16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2" fontId="28" fillId="5" borderId="0" xfId="0" applyNumberFormat="1" applyFont="1" applyFill="1" applyAlignment="1">
      <alignment horizontal="center" vertical="center"/>
    </xf>
    <xf numFmtId="2" fontId="10" fillId="5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2" fontId="14" fillId="5" borderId="0" xfId="0" applyNumberFormat="1" applyFont="1" applyFill="1" applyAlignment="1">
      <alignment horizontal="center" vertical="center"/>
    </xf>
    <xf numFmtId="4" fontId="29" fillId="5" borderId="0" xfId="0" applyNumberFormat="1" applyFont="1" applyFill="1" applyAlignment="1">
      <alignment horizontal="center" vertical="center"/>
    </xf>
    <xf numFmtId="4" fontId="29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/>
    </xf>
    <xf numFmtId="3" fontId="31" fillId="5" borderId="0" xfId="0" applyNumberFormat="1" applyFont="1" applyFill="1" applyAlignment="1">
      <alignment horizontal="center"/>
    </xf>
    <xf numFmtId="49" fontId="31" fillId="5" borderId="0" xfId="0" applyNumberFormat="1" applyFont="1" applyFill="1" applyAlignment="1">
      <alignment horizontal="center"/>
    </xf>
    <xf numFmtId="49" fontId="31" fillId="4" borderId="0" xfId="0" applyNumberFormat="1" applyFont="1" applyFill="1" applyAlignment="1">
      <alignment horizontal="center"/>
    </xf>
    <xf numFmtId="3" fontId="31" fillId="4" borderId="0" xfId="0" applyNumberFormat="1" applyFont="1" applyFill="1" applyAlignment="1">
      <alignment horizontal="center"/>
    </xf>
    <xf numFmtId="49" fontId="32" fillId="6" borderId="0" xfId="0" applyNumberFormat="1" applyFont="1" applyFill="1" applyAlignment="1">
      <alignment horizontal="center"/>
    </xf>
    <xf numFmtId="49" fontId="32" fillId="6" borderId="12" xfId="0" applyNumberFormat="1" applyFont="1" applyFill="1" applyBorder="1" applyAlignment="1"/>
    <xf numFmtId="49" fontId="32" fillId="6" borderId="0" xfId="0" applyNumberFormat="1" applyFont="1" applyFill="1" applyAlignment="1"/>
    <xf numFmtId="4" fontId="31" fillId="4" borderId="0" xfId="0" applyNumberFormat="1" applyFont="1" applyFill="1" applyAlignment="1">
      <alignment horizontal="center"/>
    </xf>
    <xf numFmtId="4" fontId="31" fillId="5" borderId="0" xfId="0" applyNumberFormat="1" applyFont="1" applyFill="1" applyAlignment="1">
      <alignment horizontal="center"/>
    </xf>
    <xf numFmtId="171" fontId="31" fillId="5" borderId="0" xfId="0" applyNumberFormat="1" applyFont="1" applyFill="1" applyAlignment="1">
      <alignment horizontal="center"/>
    </xf>
    <xf numFmtId="171" fontId="31" fillId="4" borderId="0" xfId="0" applyNumberFormat="1" applyFont="1" applyFill="1" applyAlignment="1">
      <alignment horizontal="center"/>
    </xf>
    <xf numFmtId="172" fontId="31" fillId="5" borderId="0" xfId="0" applyNumberFormat="1" applyFont="1" applyFill="1" applyAlignment="1">
      <alignment horizontal="center"/>
    </xf>
    <xf numFmtId="172" fontId="31" fillId="4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left" vertical="center"/>
    </xf>
    <xf numFmtId="11" fontId="9" fillId="8" borderId="0" xfId="0" applyNumberFormat="1" applyFon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30" fillId="5" borderId="0" xfId="0" applyFont="1" applyFill="1"/>
    <xf numFmtId="0" fontId="13" fillId="5" borderId="0" xfId="0" applyFont="1" applyFill="1" applyAlignment="1">
      <alignment horizontal="left" vertical="center"/>
    </xf>
    <xf numFmtId="11" fontId="0" fillId="5" borderId="0" xfId="0" applyNumberFormat="1" applyFill="1" applyAlignment="1">
      <alignment horizontal="center" vertical="center"/>
    </xf>
    <xf numFmtId="173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165" fontId="0" fillId="5" borderId="4" xfId="0" applyNumberForma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0" fillId="5" borderId="9" xfId="0" applyFill="1" applyBorder="1"/>
    <xf numFmtId="0" fontId="13" fillId="5" borderId="9" xfId="0" applyFont="1" applyFill="1" applyBorder="1"/>
    <xf numFmtId="0" fontId="6" fillId="8" borderId="29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1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4" fontId="18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22" fillId="6" borderId="33" xfId="0" applyFont="1" applyFill="1" applyBorder="1"/>
    <xf numFmtId="0" fontId="22" fillId="6" borderId="34" xfId="0" applyFont="1" applyFill="1" applyBorder="1" applyAlignment="1">
      <alignment horizontal="center"/>
    </xf>
    <xf numFmtId="3" fontId="22" fillId="6" borderId="23" xfId="0" applyNumberFormat="1" applyFont="1" applyFill="1" applyBorder="1" applyAlignment="1">
      <alignment horizontal="center" vertical="top" wrapText="1"/>
    </xf>
    <xf numFmtId="0" fontId="22" fillId="6" borderId="34" xfId="0" applyFont="1" applyFill="1" applyBorder="1" applyAlignment="1">
      <alignment horizontal="center" vertical="top" wrapText="1"/>
    </xf>
    <xf numFmtId="0" fontId="22" fillId="6" borderId="24" xfId="0" applyFont="1" applyFill="1" applyBorder="1" applyAlignment="1">
      <alignment horizontal="center" vertical="top" wrapText="1"/>
    </xf>
    <xf numFmtId="3" fontId="22" fillId="6" borderId="24" xfId="0" applyNumberFormat="1" applyFont="1" applyFill="1" applyBorder="1" applyAlignment="1">
      <alignment horizontal="center" vertical="top" wrapText="1"/>
    </xf>
    <xf numFmtId="4" fontId="22" fillId="6" borderId="24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21" xfId="0" applyFill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0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0" fontId="22" fillId="6" borderId="35" xfId="0" applyFont="1" applyFill="1" applyBorder="1" applyAlignment="1">
      <alignment horizontal="center" vertical="center"/>
    </xf>
    <xf numFmtId="3" fontId="22" fillId="6" borderId="36" xfId="0" applyNumberFormat="1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4" fontId="22" fillId="6" borderId="19" xfId="0" applyNumberFormat="1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3" fontId="22" fillId="6" borderId="38" xfId="0" applyNumberFormat="1" applyFont="1" applyFill="1" applyBorder="1" applyAlignment="1">
      <alignment horizontal="center" vertical="center" wrapText="1"/>
    </xf>
    <xf numFmtId="9" fontId="1" fillId="5" borderId="0" xfId="4" applyNumberFormat="1" applyFill="1"/>
    <xf numFmtId="9" fontId="1" fillId="5" borderId="0" xfId="4" applyFill="1"/>
    <xf numFmtId="0" fontId="0" fillId="0" borderId="39" xfId="0" applyBorder="1" applyAlignment="1">
      <alignment horizontal="center"/>
    </xf>
    <xf numFmtId="0" fontId="0" fillId="0" borderId="39" xfId="0" applyBorder="1" applyAlignment="1">
      <alignment horizontal="center" vertical="top" wrapText="1"/>
    </xf>
    <xf numFmtId="3" fontId="0" fillId="0" borderId="40" xfId="0" applyNumberForma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41" xfId="0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26" xfId="0" applyBorder="1"/>
    <xf numFmtId="0" fontId="0" fillId="0" borderId="41" xfId="0" applyFill="1" applyBorder="1" applyAlignment="1">
      <alignment horizontal="center"/>
    </xf>
    <xf numFmtId="11" fontId="6" fillId="0" borderId="4" xfId="0" applyNumberFormat="1" applyFont="1" applyFill="1" applyBorder="1" applyAlignment="1">
      <alignment horizontal="center"/>
    </xf>
    <xf numFmtId="2" fontId="6" fillId="8" borderId="4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Fill="1" applyBorder="1" applyAlignment="1">
      <alignment horizontal="center"/>
    </xf>
    <xf numFmtId="2" fontId="6" fillId="8" borderId="29" xfId="0" applyNumberFormat="1" applyFont="1" applyFill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8" fillId="0" borderId="1" xfId="0" applyFont="1" applyBorder="1" applyAlignment="1">
      <alignment horizontal="center"/>
    </xf>
    <xf numFmtId="3" fontId="18" fillId="0" borderId="3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0" fontId="13" fillId="0" borderId="4" xfId="0" applyNumberFormat="1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17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170" fontId="33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quotePrefix="1"/>
    <xf numFmtId="3" fontId="0" fillId="0" borderId="0" xfId="0" applyNumberFormat="1"/>
    <xf numFmtId="9" fontId="0" fillId="0" borderId="0" xfId="0" applyNumberFormat="1"/>
    <xf numFmtId="0" fontId="34" fillId="6" borderId="0" xfId="0" applyFont="1" applyFill="1"/>
    <xf numFmtId="0" fontId="13" fillId="5" borderId="16" xfId="0" applyFont="1" applyFill="1" applyBorder="1" applyAlignment="1">
      <alignment horizontal="left"/>
    </xf>
    <xf numFmtId="0" fontId="0" fillId="5" borderId="16" xfId="0" applyFill="1" applyBorder="1" applyAlignment="1">
      <alignment horizontal="center"/>
    </xf>
    <xf numFmtId="0" fontId="11" fillId="5" borderId="0" xfId="0" applyFont="1" applyFill="1"/>
    <xf numFmtId="0" fontId="13" fillId="5" borderId="0" xfId="0" applyFont="1" applyFill="1" applyAlignment="1">
      <alignment horizontal="center"/>
    </xf>
    <xf numFmtId="0" fontId="9" fillId="5" borderId="0" xfId="0" applyFont="1" applyFill="1"/>
    <xf numFmtId="0" fontId="22" fillId="6" borderId="1" xfId="0" applyFont="1" applyFill="1" applyBorder="1" applyAlignment="1">
      <alignment horizontal="centerContinuous"/>
    </xf>
    <xf numFmtId="0" fontId="22" fillId="6" borderId="2" xfId="0" applyFont="1" applyFill="1" applyBorder="1" applyAlignment="1">
      <alignment horizontal="centerContinuous"/>
    </xf>
    <xf numFmtId="0" fontId="22" fillId="6" borderId="45" xfId="0" applyFont="1" applyFill="1" applyBorder="1" applyAlignment="1">
      <alignment horizontal="centerContinuous"/>
    </xf>
    <xf numFmtId="0" fontId="22" fillId="6" borderId="46" xfId="0" applyFont="1" applyFill="1" applyBorder="1" applyAlignment="1">
      <alignment horizontal="centerContinuous"/>
    </xf>
    <xf numFmtId="0" fontId="22" fillId="6" borderId="3" xfId="0" applyFont="1" applyFill="1" applyBorder="1" applyAlignment="1">
      <alignment horizontal="centerContinuous"/>
    </xf>
    <xf numFmtId="0" fontId="13" fillId="5" borderId="35" xfId="0" applyFont="1" applyFill="1" applyBorder="1" applyAlignment="1">
      <alignment horizontal="center" vertical="center"/>
    </xf>
    <xf numFmtId="0" fontId="0" fillId="5" borderId="21" xfId="0" applyFill="1" applyBorder="1"/>
    <xf numFmtId="180" fontId="11" fillId="5" borderId="22" xfId="0" applyNumberFormat="1" applyFont="1" applyFill="1" applyBorder="1" applyAlignment="1"/>
    <xf numFmtId="176" fontId="0" fillId="5" borderId="7" xfId="0" applyNumberFormat="1" applyFill="1" applyBorder="1" applyAlignment="1">
      <alignment horizontal="center"/>
    </xf>
    <xf numFmtId="0" fontId="13" fillId="5" borderId="47" xfId="0" applyFont="1" applyFill="1" applyBorder="1" applyAlignment="1">
      <alignment horizontal="center" vertical="center"/>
    </xf>
    <xf numFmtId="177" fontId="11" fillId="5" borderId="22" xfId="0" applyNumberFormat="1" applyFont="1" applyFill="1" applyBorder="1" applyAlignment="1"/>
    <xf numFmtId="0" fontId="0" fillId="5" borderId="7" xfId="0" applyFill="1" applyBorder="1"/>
    <xf numFmtId="0" fontId="13" fillId="5" borderId="48" xfId="0" applyFont="1" applyFill="1" applyBorder="1" applyAlignment="1">
      <alignment horizontal="center" vertical="center"/>
    </xf>
    <xf numFmtId="0" fontId="21" fillId="5" borderId="49" xfId="0" applyFont="1" applyFill="1" applyBorder="1"/>
    <xf numFmtId="179" fontId="0" fillId="5" borderId="50" xfId="0" applyNumberFormat="1" applyFill="1" applyBorder="1" applyAlignment="1"/>
    <xf numFmtId="179" fontId="0" fillId="5" borderId="10" xfId="0" applyNumberFormat="1" applyFill="1" applyBorder="1" applyAlignment="1"/>
    <xf numFmtId="180" fontId="0" fillId="5" borderId="37" xfId="0" applyNumberFormat="1" applyFill="1" applyBorder="1" applyAlignment="1"/>
    <xf numFmtId="176" fontId="0" fillId="5" borderId="20" xfId="0" applyNumberFormat="1" applyFill="1" applyBorder="1" applyAlignment="1">
      <alignment horizontal="center"/>
    </xf>
    <xf numFmtId="177" fontId="0" fillId="5" borderId="22" xfId="0" applyNumberFormat="1" applyFill="1" applyBorder="1" applyAlignment="1"/>
    <xf numFmtId="180" fontId="36" fillId="5" borderId="37" xfId="0" applyNumberFormat="1" applyFont="1" applyFill="1" applyBorder="1" applyAlignment="1"/>
    <xf numFmtId="0" fontId="22" fillId="6" borderId="0" xfId="0" applyFont="1" applyFill="1" applyBorder="1" applyAlignment="1">
      <alignment horizontal="centerContinuous"/>
    </xf>
    <xf numFmtId="180" fontId="36" fillId="5" borderId="22" xfId="0" applyNumberFormat="1" applyFont="1" applyFill="1" applyBorder="1" applyAlignment="1"/>
    <xf numFmtId="180" fontId="0" fillId="5" borderId="0" xfId="0" applyNumberFormat="1" applyFill="1" applyBorder="1"/>
    <xf numFmtId="179" fontId="0" fillId="5" borderId="0" xfId="0" applyNumberFormat="1" applyFill="1" applyBorder="1" applyAlignment="1"/>
    <xf numFmtId="177" fontId="36" fillId="5" borderId="22" xfId="0" applyNumberFormat="1" applyFont="1" applyFill="1" applyBorder="1" applyAlignment="1"/>
    <xf numFmtId="179" fontId="11" fillId="5" borderId="50" xfId="0" applyNumberFormat="1" applyFont="1" applyFill="1" applyBorder="1" applyAlignment="1"/>
    <xf numFmtId="180" fontId="0" fillId="5" borderId="0" xfId="0" applyNumberFormat="1" applyFill="1" applyBorder="1" applyAlignment="1"/>
    <xf numFmtId="0" fontId="37" fillId="5" borderId="0" xfId="0" applyFont="1" applyFill="1" applyBorder="1"/>
    <xf numFmtId="181" fontId="11" fillId="5" borderId="50" xfId="0" applyNumberFormat="1" applyFont="1" applyFill="1" applyBorder="1" applyAlignment="1"/>
    <xf numFmtId="177" fontId="11" fillId="5" borderId="0" xfId="0" applyNumberFormat="1" applyFont="1" applyFill="1" applyBorder="1" applyAlignment="1"/>
    <xf numFmtId="182" fontId="11" fillId="5" borderId="22" xfId="0" applyNumberFormat="1" applyFont="1" applyFill="1" applyBorder="1" applyAlignment="1"/>
    <xf numFmtId="0" fontId="13" fillId="5" borderId="47" xfId="0" quotePrefix="1" applyFont="1" applyFill="1" applyBorder="1" applyAlignment="1">
      <alignment horizontal="center" vertical="center"/>
    </xf>
    <xf numFmtId="182" fontId="38" fillId="5" borderId="22" xfId="0" applyNumberFormat="1" applyFont="1" applyFill="1" applyBorder="1" applyAlignment="1"/>
    <xf numFmtId="183" fontId="38" fillId="5" borderId="22" xfId="0" applyNumberFormat="1" applyFont="1" applyFill="1" applyBorder="1" applyAlignment="1"/>
    <xf numFmtId="180" fontId="11" fillId="10" borderId="22" xfId="0" applyNumberFormat="1" applyFont="1" applyFill="1" applyBorder="1" applyAlignment="1"/>
    <xf numFmtId="180" fontId="36" fillId="10" borderId="22" xfId="0" applyNumberFormat="1" applyFont="1" applyFill="1" applyBorder="1" applyAlignment="1"/>
    <xf numFmtId="182" fontId="11" fillId="10" borderId="22" xfId="0" applyNumberFormat="1" applyFont="1" applyFill="1" applyBorder="1" applyAlignment="1"/>
    <xf numFmtId="177" fontId="11" fillId="10" borderId="22" xfId="0" applyNumberFormat="1" applyFont="1" applyFill="1" applyBorder="1" applyAlignment="1"/>
    <xf numFmtId="183" fontId="38" fillId="10" borderId="22" xfId="0" applyNumberFormat="1" applyFont="1" applyFill="1" applyBorder="1" applyAlignment="1"/>
    <xf numFmtId="179" fontId="11" fillId="10" borderId="50" xfId="0" applyNumberFormat="1" applyFont="1" applyFill="1" applyBorder="1" applyAlignment="1"/>
    <xf numFmtId="180" fontId="0" fillId="10" borderId="37" xfId="0" applyNumberFormat="1" applyFill="1" applyBorder="1" applyAlignment="1"/>
    <xf numFmtId="177" fontId="0" fillId="10" borderId="22" xfId="0" applyNumberFormat="1" applyFill="1" applyBorder="1" applyAlignment="1"/>
    <xf numFmtId="0" fontId="21" fillId="5" borderId="15" xfId="0" applyFont="1" applyFill="1" applyBorder="1"/>
    <xf numFmtId="0" fontId="3" fillId="8" borderId="0" xfId="0" applyFont="1" applyFill="1" applyBorder="1"/>
    <xf numFmtId="0" fontId="39" fillId="8" borderId="0" xfId="0" applyFont="1" applyFill="1" applyBorder="1" applyAlignment="1">
      <alignment horizontal="right"/>
    </xf>
    <xf numFmtId="179" fontId="3" fillId="8" borderId="0" xfId="0" applyNumberFormat="1" applyFont="1" applyFill="1" applyBorder="1" applyAlignment="1">
      <alignment horizontal="left"/>
    </xf>
    <xf numFmtId="0" fontId="0" fillId="8" borderId="0" xfId="0" applyFill="1" applyAlignment="1">
      <alignment horizontal="centerContinuous"/>
    </xf>
    <xf numFmtId="179" fontId="11" fillId="10" borderId="17" xfId="0" applyNumberFormat="1" applyFont="1" applyFill="1" applyBorder="1" applyAlignment="1"/>
    <xf numFmtId="179" fontId="0" fillId="5" borderId="0" xfId="0" applyNumberFormat="1" applyFill="1"/>
    <xf numFmtId="180" fontId="11" fillId="5" borderId="37" xfId="0" applyNumberFormat="1" applyFont="1" applyFill="1" applyBorder="1" applyAlignment="1"/>
    <xf numFmtId="180" fontId="38" fillId="5" borderId="22" xfId="0" applyNumberFormat="1" applyFont="1" applyFill="1" applyBorder="1" applyAlignment="1"/>
    <xf numFmtId="180" fontId="38" fillId="5" borderId="37" xfId="0" applyNumberFormat="1" applyFont="1" applyFill="1" applyBorder="1" applyAlignment="1"/>
    <xf numFmtId="0" fontId="0" fillId="4" borderId="21" xfId="0" applyFill="1" applyBorder="1"/>
    <xf numFmtId="180" fontId="20" fillId="4" borderId="37" xfId="0" applyNumberFormat="1" applyFont="1" applyFill="1" applyBorder="1" applyAlignment="1"/>
    <xf numFmtId="180" fontId="20" fillId="4" borderId="22" xfId="0" applyNumberFormat="1" applyFont="1" applyFill="1" applyBorder="1" applyAlignment="1"/>
    <xf numFmtId="177" fontId="20" fillId="4" borderId="22" xfId="0" applyNumberFormat="1" applyFont="1" applyFill="1" applyBorder="1" applyAlignment="1"/>
    <xf numFmtId="183" fontId="38" fillId="4" borderId="22" xfId="0" applyNumberFormat="1" applyFont="1" applyFill="1" applyBorder="1" applyAlignment="1"/>
    <xf numFmtId="0" fontId="21" fillId="4" borderId="49" xfId="0" applyFont="1" applyFill="1" applyBorder="1"/>
    <xf numFmtId="181" fontId="11" fillId="4" borderId="50" xfId="0" applyNumberFormat="1" applyFont="1" applyFill="1" applyBorder="1" applyAlignment="1"/>
    <xf numFmtId="0" fontId="21" fillId="8" borderId="49" xfId="0" applyFont="1" applyFill="1" applyBorder="1"/>
    <xf numFmtId="181" fontId="11" fillId="8" borderId="50" xfId="0" applyNumberFormat="1" applyFont="1" applyFill="1" applyBorder="1" applyAlignment="1"/>
    <xf numFmtId="0" fontId="22" fillId="6" borderId="19" xfId="0" applyFont="1" applyFill="1" applyBorder="1" applyAlignment="1">
      <alignment horizontal="centerContinuous"/>
    </xf>
    <xf numFmtId="0" fontId="22" fillId="6" borderId="18" xfId="0" applyFont="1" applyFill="1" applyBorder="1" applyAlignment="1">
      <alignment horizontal="centerContinuous"/>
    </xf>
    <xf numFmtId="0" fontId="22" fillId="6" borderId="51" xfId="0" applyFont="1" applyFill="1" applyBorder="1" applyAlignment="1">
      <alignment horizontal="centerContinuous"/>
    </xf>
    <xf numFmtId="0" fontId="22" fillId="6" borderId="37" xfId="0" applyFont="1" applyFill="1" applyBorder="1" applyAlignment="1">
      <alignment horizontal="centerContinuous"/>
    </xf>
    <xf numFmtId="0" fontId="22" fillId="6" borderId="20" xfId="0" applyFont="1" applyFill="1" applyBorder="1" applyAlignment="1">
      <alignment horizontal="centerContinuous"/>
    </xf>
    <xf numFmtId="0" fontId="0" fillId="5" borderId="51" xfId="0" applyFill="1" applyBorder="1"/>
    <xf numFmtId="0" fontId="0" fillId="5" borderId="19" xfId="0" applyFill="1" applyBorder="1"/>
    <xf numFmtId="180" fontId="11" fillId="10" borderId="37" xfId="0" applyNumberFormat="1" applyFont="1" applyFill="1" applyBorder="1" applyAlignment="1"/>
    <xf numFmtId="175" fontId="0" fillId="5" borderId="4" xfId="0" applyNumberFormat="1" applyFill="1" applyBorder="1" applyAlignment="1">
      <alignment horizontal="center" vertical="center"/>
    </xf>
    <xf numFmtId="174" fontId="0" fillId="4" borderId="4" xfId="0" applyNumberFormat="1" applyFill="1" applyBorder="1" applyAlignment="1">
      <alignment horizontal="center" vertical="center"/>
    </xf>
    <xf numFmtId="175" fontId="0" fillId="4" borderId="4" xfId="0" applyNumberFormat="1" applyFill="1" applyBorder="1" applyAlignment="1">
      <alignment horizontal="center" vertical="center"/>
    </xf>
    <xf numFmtId="175" fontId="13" fillId="5" borderId="0" xfId="0" applyNumberFormat="1" applyFont="1" applyFill="1" applyBorder="1" applyAlignment="1">
      <alignment horizontal="center"/>
    </xf>
    <xf numFmtId="175" fontId="0" fillId="5" borderId="0" xfId="0" applyNumberFormat="1" applyFill="1" applyBorder="1" applyAlignment="1">
      <alignment horizontal="center"/>
    </xf>
    <xf numFmtId="0" fontId="0" fillId="5" borderId="42" xfId="0" applyFill="1" applyBorder="1" applyAlignment="1">
      <alignment horizontal="center" vertical="center"/>
    </xf>
    <xf numFmtId="175" fontId="24" fillId="5" borderId="4" xfId="0" applyNumberFormat="1" applyFont="1" applyFill="1" applyBorder="1" applyAlignment="1">
      <alignment horizontal="center" vertical="center"/>
    </xf>
    <xf numFmtId="174" fontId="36" fillId="4" borderId="4" xfId="0" applyNumberFormat="1" applyFont="1" applyFill="1" applyBorder="1" applyAlignment="1">
      <alignment horizontal="center" vertical="center"/>
    </xf>
    <xf numFmtId="175" fontId="36" fillId="5" borderId="4" xfId="0" applyNumberFormat="1" applyFont="1" applyFill="1" applyBorder="1" applyAlignment="1">
      <alignment horizontal="center" vertical="center"/>
    </xf>
    <xf numFmtId="175" fontId="36" fillId="4" borderId="4" xfId="0" applyNumberFormat="1" applyFont="1" applyFill="1" applyBorder="1" applyAlignment="1">
      <alignment horizontal="center" vertical="center"/>
    </xf>
    <xf numFmtId="180" fontId="38" fillId="10" borderId="22" xfId="0" applyNumberFormat="1" applyFont="1" applyFill="1" applyBorder="1" applyAlignment="1"/>
    <xf numFmtId="165" fontId="11" fillId="0" borderId="4" xfId="0" applyNumberFormat="1" applyFont="1" applyBorder="1" applyAlignment="1">
      <alignment horizontal="center"/>
    </xf>
    <xf numFmtId="165" fontId="38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1" fillId="0" borderId="4" xfId="0" quotePrefix="1" applyNumberFormat="1" applyFont="1" applyBorder="1" applyAlignment="1">
      <alignment horizontal="center"/>
    </xf>
    <xf numFmtId="165" fontId="38" fillId="0" borderId="4" xfId="0" quotePrefix="1" applyNumberFormat="1" applyFont="1" applyBorder="1" applyAlignment="1">
      <alignment horizontal="center"/>
    </xf>
    <xf numFmtId="0" fontId="13" fillId="5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/>
    </xf>
    <xf numFmtId="0" fontId="13" fillId="11" borderId="9" xfId="0" applyFont="1" applyFill="1" applyBorder="1"/>
    <xf numFmtId="0" fontId="0" fillId="11" borderId="0" xfId="0" applyFill="1"/>
    <xf numFmtId="0" fontId="0" fillId="11" borderId="4" xfId="0" applyFill="1" applyBorder="1"/>
    <xf numFmtId="0" fontId="11" fillId="11" borderId="4" xfId="0" applyFont="1" applyFill="1" applyBorder="1" applyAlignment="1">
      <alignment horizontal="center"/>
    </xf>
    <xf numFmtId="0" fontId="11" fillId="11" borderId="4" xfId="0" applyFont="1" applyFill="1" applyBorder="1"/>
    <xf numFmtId="165" fontId="0" fillId="11" borderId="4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165" fontId="38" fillId="8" borderId="4" xfId="0" applyNumberFormat="1" applyFont="1" applyFill="1" applyBorder="1" applyAlignment="1">
      <alignment horizontal="center"/>
    </xf>
    <xf numFmtId="165" fontId="11" fillId="8" borderId="4" xfId="0" quotePrefix="1" applyNumberFormat="1" applyFont="1" applyFill="1" applyBorder="1" applyAlignment="1">
      <alignment horizontal="center"/>
    </xf>
    <xf numFmtId="0" fontId="39" fillId="5" borderId="0" xfId="0" applyFont="1" applyFill="1" applyBorder="1" applyAlignment="1">
      <alignment horizontal="right"/>
    </xf>
    <xf numFmtId="0" fontId="0" fillId="5" borderId="0" xfId="0" applyFill="1" applyAlignment="1">
      <alignment horizontal="left"/>
    </xf>
    <xf numFmtId="0" fontId="13" fillId="5" borderId="19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0" xfId="0" quotePrefix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8" borderId="4" xfId="0" applyFill="1" applyBorder="1" applyAlignment="1">
      <alignment horizontal="left"/>
    </xf>
    <xf numFmtId="165" fontId="0" fillId="5" borderId="0" xfId="0" applyNumberFormat="1" applyFill="1" applyAlignment="1">
      <alignment horizontal="left"/>
    </xf>
    <xf numFmtId="0" fontId="24" fillId="5" borderId="0" xfId="0" applyFont="1" applyFill="1" applyAlignment="1">
      <alignment horizontal="left"/>
    </xf>
    <xf numFmtId="0" fontId="21" fillId="5" borderId="19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52" xfId="0" applyFont="1" applyFill="1" applyBorder="1" applyAlignment="1">
      <alignment horizontal="center"/>
    </xf>
    <xf numFmtId="167" fontId="5" fillId="5" borderId="52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185" fontId="0" fillId="5" borderId="0" xfId="0" applyNumberFormat="1" applyFill="1" applyAlignment="1">
      <alignment horizontal="center"/>
    </xf>
    <xf numFmtId="167" fontId="5" fillId="5" borderId="53" xfId="0" applyNumberFormat="1" applyFont="1" applyFill="1" applyBorder="1" applyAlignment="1">
      <alignment horizontal="center"/>
    </xf>
    <xf numFmtId="11" fontId="0" fillId="5" borderId="19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165" fontId="0" fillId="5" borderId="19" xfId="0" applyNumberFormat="1" applyFill="1" applyBorder="1" applyAlignment="1">
      <alignment horizontal="center"/>
    </xf>
    <xf numFmtId="184" fontId="0" fillId="5" borderId="19" xfId="0" applyNumberForma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167" fontId="0" fillId="5" borderId="19" xfId="0" applyNumberFormat="1" applyFill="1" applyBorder="1" applyAlignment="1">
      <alignment horizontal="center"/>
    </xf>
    <xf numFmtId="167" fontId="0" fillId="5" borderId="20" xfId="0" applyNumberForma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11" fontId="13" fillId="5" borderId="0" xfId="0" applyNumberFormat="1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165" fontId="13" fillId="5" borderId="0" xfId="0" applyNumberFormat="1" applyFont="1" applyFill="1" applyBorder="1" applyAlignment="1">
      <alignment horizontal="center"/>
    </xf>
    <xf numFmtId="184" fontId="13" fillId="5" borderId="0" xfId="0" applyNumberFormat="1" applyFont="1" applyFill="1" applyBorder="1" applyAlignment="1">
      <alignment horizontal="center"/>
    </xf>
    <xf numFmtId="2" fontId="13" fillId="5" borderId="0" xfId="0" applyNumberFormat="1" applyFont="1" applyFill="1" applyBorder="1" applyAlignment="1">
      <alignment horizontal="center"/>
    </xf>
    <xf numFmtId="167" fontId="13" fillId="5" borderId="0" xfId="0" applyNumberFormat="1" applyFont="1" applyFill="1" applyBorder="1" applyAlignment="1">
      <alignment horizontal="center"/>
    </xf>
    <xf numFmtId="167" fontId="13" fillId="5" borderId="7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184" fontId="0" fillId="5" borderId="0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7" fontId="0" fillId="5" borderId="7" xfId="0" applyNumberFormat="1" applyFill="1" applyBorder="1" applyAlignment="1">
      <alignment horizontal="center"/>
    </xf>
    <xf numFmtId="11" fontId="0" fillId="5" borderId="0" xfId="0" applyNumberFormat="1" applyFill="1" applyBorder="1" applyAlignment="1">
      <alignment horizontal="center"/>
    </xf>
    <xf numFmtId="2" fontId="9" fillId="5" borderId="0" xfId="0" applyNumberFormat="1" applyFont="1" applyFill="1" applyBorder="1" applyAlignment="1">
      <alignment horizontal="center"/>
    </xf>
    <xf numFmtId="0" fontId="0" fillId="5" borderId="0" xfId="0" quotePrefix="1" applyFill="1"/>
    <xf numFmtId="0" fontId="3" fillId="5" borderId="0" xfId="0" applyFont="1" applyFill="1" applyAlignment="1">
      <alignment horizontal="center"/>
    </xf>
    <xf numFmtId="0" fontId="39" fillId="5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52" xfId="0" applyFont="1" applyFill="1" applyBorder="1" applyAlignment="1">
      <alignment horizontal="center"/>
    </xf>
    <xf numFmtId="167" fontId="13" fillId="5" borderId="52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53" xfId="0" applyFont="1" applyFill="1" applyBorder="1" applyAlignment="1">
      <alignment horizontal="center"/>
    </xf>
    <xf numFmtId="167" fontId="13" fillId="5" borderId="53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8" borderId="21" xfId="0" applyFill="1" applyBorder="1"/>
    <xf numFmtId="0" fontId="0" fillId="8" borderId="0" xfId="0" applyFill="1" applyBorder="1"/>
    <xf numFmtId="169" fontId="19" fillId="8" borderId="0" xfId="0" applyNumberFormat="1" applyFont="1" applyFill="1" applyBorder="1"/>
    <xf numFmtId="0" fontId="0" fillId="8" borderId="22" xfId="0" applyFill="1" applyBorder="1"/>
    <xf numFmtId="178" fontId="11" fillId="10" borderId="50" xfId="0" applyNumberFormat="1" applyFont="1" applyFill="1" applyBorder="1" applyAlignment="1"/>
    <xf numFmtId="165" fontId="0" fillId="10" borderId="4" xfId="0" applyNumberFormat="1" applyFill="1" applyBorder="1" applyAlignment="1">
      <alignment horizontal="center"/>
    </xf>
    <xf numFmtId="185" fontId="0" fillId="5" borderId="0" xfId="0" applyNumberFormat="1" applyFill="1" applyAlignment="1">
      <alignment horizontal="left"/>
    </xf>
    <xf numFmtId="0" fontId="13" fillId="11" borderId="0" xfId="0" applyFont="1" applyFill="1" applyBorder="1"/>
    <xf numFmtId="0" fontId="13" fillId="11" borderId="4" xfId="0" applyFont="1" applyFill="1" applyBorder="1" applyAlignment="1">
      <alignment horizontal="center" vertical="center" wrapText="1"/>
    </xf>
    <xf numFmtId="4" fontId="13" fillId="5" borderId="0" xfId="0" applyNumberFormat="1" applyFont="1" applyFill="1" applyAlignment="1">
      <alignment horizontal="center"/>
    </xf>
    <xf numFmtId="0" fontId="24" fillId="5" borderId="0" xfId="0" applyFont="1" applyFill="1"/>
    <xf numFmtId="0" fontId="42" fillId="5" borderId="0" xfId="0" applyFont="1" applyFill="1"/>
    <xf numFmtId="0" fontId="41" fillId="5" borderId="0" xfId="0" applyFont="1" applyFill="1"/>
    <xf numFmtId="0" fontId="43" fillId="5" borderId="0" xfId="0" applyFont="1" applyFill="1"/>
    <xf numFmtId="4" fontId="11" fillId="5" borderId="0" xfId="0" applyNumberFormat="1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4" fontId="9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5" fillId="5" borderId="0" xfId="0" applyFont="1" applyFill="1"/>
    <xf numFmtId="0" fontId="0" fillId="5" borderId="18" xfId="0" applyFill="1" applyBorder="1"/>
    <xf numFmtId="0" fontId="0" fillId="5" borderId="20" xfId="0" applyFill="1" applyBorder="1"/>
    <xf numFmtId="0" fontId="0" fillId="5" borderId="6" xfId="0" applyFill="1" applyBorder="1"/>
    <xf numFmtId="2" fontId="0" fillId="5" borderId="0" xfId="0" applyNumberFormat="1" applyFill="1" applyBorder="1" applyAlignment="1">
      <alignment horizontal="left" vertical="center"/>
    </xf>
    <xf numFmtId="0" fontId="0" fillId="5" borderId="8" xfId="0" applyFill="1" applyBorder="1"/>
    <xf numFmtId="0" fontId="0" fillId="5" borderId="10" xfId="0" applyFill="1" applyBorder="1"/>
    <xf numFmtId="2" fontId="9" fillId="5" borderId="0" xfId="0" applyNumberFormat="1" applyFont="1" applyFill="1" applyAlignment="1">
      <alignment horizontal="center"/>
    </xf>
    <xf numFmtId="0" fontId="22" fillId="6" borderId="0" xfId="0" applyFont="1" applyFill="1" applyAlignment="1">
      <alignment horizontal="center" wrapText="1"/>
    </xf>
    <xf numFmtId="0" fontId="47" fillId="6" borderId="0" xfId="0" applyFont="1" applyFill="1" applyAlignment="1">
      <alignment horizontal="center" vertical="center" wrapText="1"/>
    </xf>
    <xf numFmtId="0" fontId="48" fillId="5" borderId="0" xfId="0" applyFont="1" applyFill="1"/>
    <xf numFmtId="0" fontId="46" fillId="5" borderId="0" xfId="0" applyFont="1" applyFill="1"/>
    <xf numFmtId="198" fontId="49" fillId="5" borderId="0" xfId="0" applyNumberFormat="1" applyFont="1" applyFill="1" applyBorder="1" applyAlignment="1" applyProtection="1">
      <alignment horizontal="right"/>
    </xf>
    <xf numFmtId="0" fontId="49" fillId="5" borderId="0" xfId="0" applyFont="1" applyFill="1"/>
    <xf numFmtId="0" fontId="49" fillId="5" borderId="16" xfId="0" applyFont="1" applyFill="1" applyBorder="1"/>
    <xf numFmtId="198" fontId="49" fillId="5" borderId="31" xfId="0" applyNumberFormat="1" applyFont="1" applyFill="1" applyBorder="1" applyProtection="1"/>
    <xf numFmtId="198" fontId="49" fillId="5" borderId="12" xfId="0" applyNumberFormat="1" applyFont="1" applyFill="1" applyBorder="1" applyProtection="1"/>
    <xf numFmtId="0" fontId="49" fillId="5" borderId="12" xfId="0" applyFont="1" applyFill="1" applyBorder="1"/>
    <xf numFmtId="0" fontId="49" fillId="5" borderId="54" xfId="0" applyFont="1" applyFill="1" applyBorder="1"/>
    <xf numFmtId="0" fontId="49" fillId="5" borderId="0" xfId="0" applyFont="1" applyFill="1" applyBorder="1"/>
    <xf numFmtId="0" fontId="49" fillId="5" borderId="0" xfId="0" applyFont="1" applyFill="1" applyBorder="1" applyAlignment="1">
      <alignment horizontal="right"/>
    </xf>
    <xf numFmtId="0" fontId="50" fillId="5" borderId="0" xfId="0" applyFont="1" applyFill="1" applyBorder="1"/>
    <xf numFmtId="0" fontId="49" fillId="5" borderId="55" xfId="0" applyFont="1" applyFill="1" applyBorder="1" applyAlignment="1">
      <alignment horizontal="centerContinuous"/>
    </xf>
    <xf numFmtId="0" fontId="49" fillId="5" borderId="32" xfId="0" applyFont="1" applyFill="1" applyBorder="1" applyAlignment="1">
      <alignment horizontal="centerContinuous"/>
    </xf>
    <xf numFmtId="198" fontId="49" fillId="5" borderId="21" xfId="0" applyNumberFormat="1" applyFont="1" applyFill="1" applyBorder="1" applyProtection="1"/>
    <xf numFmtId="198" fontId="49" fillId="5" borderId="0" xfId="0" applyNumberFormat="1" applyFont="1" applyFill="1" applyBorder="1" applyProtection="1"/>
    <xf numFmtId="0" fontId="49" fillId="5" borderId="56" xfId="0" applyFont="1" applyFill="1" applyBorder="1"/>
    <xf numFmtId="0" fontId="50" fillId="5" borderId="0" xfId="0" applyFont="1" applyFill="1" applyBorder="1" applyAlignment="1"/>
    <xf numFmtId="0" fontId="49" fillId="5" borderId="57" xfId="0" applyFont="1" applyFill="1" applyBorder="1" applyAlignment="1" applyProtection="1">
      <alignment horizontal="centerContinuous"/>
      <protection locked="0"/>
    </xf>
    <xf numFmtId="0" fontId="49" fillId="5" borderId="22" xfId="0" applyFont="1" applyFill="1" applyBorder="1" applyAlignment="1">
      <alignment horizontal="centerContinuous"/>
    </xf>
    <xf numFmtId="198" fontId="49" fillId="5" borderId="58" xfId="0" applyNumberFormat="1" applyFont="1" applyFill="1" applyBorder="1" applyProtection="1"/>
    <xf numFmtId="198" fontId="49" fillId="5" borderId="59" xfId="0" applyNumberFormat="1" applyFont="1" applyFill="1" applyBorder="1" applyProtection="1"/>
    <xf numFmtId="0" fontId="49" fillId="5" borderId="60" xfId="0" applyFont="1" applyFill="1" applyBorder="1"/>
    <xf numFmtId="0" fontId="49" fillId="5" borderId="59" xfId="0" applyFont="1" applyFill="1" applyBorder="1" applyProtection="1">
      <protection locked="0"/>
    </xf>
    <xf numFmtId="0" fontId="49" fillId="5" borderId="61" xfId="0" applyFont="1" applyFill="1" applyBorder="1"/>
    <xf numFmtId="0" fontId="49" fillId="5" borderId="59" xfId="0" applyFont="1" applyFill="1" applyBorder="1"/>
    <xf numFmtId="0" fontId="50" fillId="5" borderId="60" xfId="0" applyFont="1" applyFill="1" applyBorder="1" applyAlignment="1">
      <alignment horizontal="centerContinuous"/>
    </xf>
    <xf numFmtId="198" fontId="49" fillId="5" borderId="21" xfId="0" applyNumberFormat="1" applyFont="1" applyFill="1" applyBorder="1" applyAlignment="1" applyProtection="1">
      <alignment horizontal="centerContinuous"/>
    </xf>
    <xf numFmtId="0" fontId="49" fillId="5" borderId="0" xfId="0" applyFont="1" applyFill="1" applyBorder="1" applyAlignment="1">
      <alignment horizontal="center"/>
    </xf>
    <xf numFmtId="0" fontId="49" fillId="5" borderId="0" xfId="0" applyFont="1" applyFill="1" applyBorder="1" applyAlignment="1">
      <alignment horizontal="centerContinuous"/>
    </xf>
    <xf numFmtId="0" fontId="49" fillId="5" borderId="57" xfId="0" applyFont="1" applyFill="1" applyBorder="1" applyAlignment="1">
      <alignment horizontal="centerContinuous"/>
    </xf>
    <xf numFmtId="0" fontId="49" fillId="5" borderId="62" xfId="0" applyFont="1" applyFill="1" applyBorder="1" applyAlignment="1">
      <alignment horizontal="centerContinuous"/>
    </xf>
    <xf numFmtId="0" fontId="50" fillId="5" borderId="56" xfId="0" applyFont="1" applyFill="1" applyBorder="1" applyAlignment="1">
      <alignment horizontal="centerContinuous"/>
    </xf>
    <xf numFmtId="0" fontId="50" fillId="5" borderId="57" xfId="0" applyFont="1" applyFill="1" applyBorder="1" applyAlignment="1">
      <alignment horizontal="centerContinuous"/>
    </xf>
    <xf numFmtId="0" fontId="50" fillId="5" borderId="22" xfId="0" applyFont="1" applyFill="1" applyBorder="1" applyAlignment="1">
      <alignment horizontal="centerContinuous"/>
    </xf>
    <xf numFmtId="198" fontId="49" fillId="5" borderId="58" xfId="0" applyNumberFormat="1" applyFont="1" applyFill="1" applyBorder="1" applyAlignment="1" applyProtection="1">
      <alignment horizontal="right"/>
    </xf>
    <xf numFmtId="0" fontId="49" fillId="5" borderId="60" xfId="0" applyFont="1" applyFill="1" applyBorder="1" applyAlignment="1"/>
    <xf numFmtId="0" fontId="50" fillId="5" borderId="59" xfId="0" applyFont="1" applyFill="1" applyBorder="1" applyAlignment="1"/>
    <xf numFmtId="0" fontId="49" fillId="5" borderId="61" xfId="0" applyFont="1" applyFill="1" applyBorder="1" applyAlignment="1"/>
    <xf numFmtId="0" fontId="49" fillId="5" borderId="63" xfId="0" applyFont="1" applyFill="1" applyBorder="1" applyAlignment="1">
      <alignment horizontal="left"/>
    </xf>
    <xf numFmtId="0" fontId="49" fillId="5" borderId="64" xfId="0" applyFont="1" applyFill="1" applyBorder="1" applyAlignment="1"/>
    <xf numFmtId="0" fontId="0" fillId="5" borderId="22" xfId="0" applyFill="1" applyBorder="1"/>
    <xf numFmtId="0" fontId="18" fillId="7" borderId="1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center" vertical="center"/>
    </xf>
    <xf numFmtId="176" fontId="52" fillId="0" borderId="4" xfId="0" applyNumberFormat="1" applyFont="1" applyBorder="1" applyAlignment="1">
      <alignment horizontal="center" vertical="center"/>
    </xf>
    <xf numFmtId="186" fontId="52" fillId="0" borderId="4" xfId="0" applyNumberFormat="1" applyFont="1" applyBorder="1" applyAlignment="1">
      <alignment horizontal="center" vertical="center"/>
    </xf>
    <xf numFmtId="186" fontId="53" fillId="0" borderId="4" xfId="0" applyNumberFormat="1" applyFont="1" applyBorder="1" applyAlignment="1">
      <alignment horizontal="center" vertical="center"/>
    </xf>
    <xf numFmtId="1" fontId="53" fillId="0" borderId="42" xfId="0" applyNumberFormat="1" applyFont="1" applyBorder="1" applyAlignment="1">
      <alignment horizontal="center" vertical="center"/>
    </xf>
    <xf numFmtId="183" fontId="53" fillId="0" borderId="4" xfId="0" applyNumberFormat="1" applyFont="1" applyBorder="1" applyAlignment="1">
      <alignment horizontal="center" vertical="center"/>
    </xf>
    <xf numFmtId="187" fontId="52" fillId="5" borderId="4" xfId="0" applyNumberFormat="1" applyFont="1" applyFill="1" applyBorder="1" applyAlignment="1">
      <alignment horizontal="center" vertical="center" wrapText="1"/>
    </xf>
    <xf numFmtId="190" fontId="51" fillId="0" borderId="4" xfId="0" applyNumberFormat="1" applyFont="1" applyBorder="1" applyAlignment="1">
      <alignment horizontal="center" vertical="center"/>
    </xf>
    <xf numFmtId="188" fontId="51" fillId="5" borderId="4" xfId="0" applyNumberFormat="1" applyFont="1" applyFill="1" applyBorder="1" applyAlignment="1">
      <alignment horizontal="center" vertical="center" wrapText="1"/>
    </xf>
    <xf numFmtId="189" fontId="18" fillId="0" borderId="4" xfId="0" applyNumberFormat="1" applyFont="1" applyFill="1" applyBorder="1" applyAlignment="1">
      <alignment horizontal="center" vertical="center"/>
    </xf>
    <xf numFmtId="10" fontId="18" fillId="0" borderId="4" xfId="0" applyNumberFormat="1" applyFont="1" applyFill="1" applyBorder="1" applyAlignment="1">
      <alignment horizontal="center" vertical="center"/>
    </xf>
    <xf numFmtId="195" fontId="51" fillId="0" borderId="4" xfId="0" applyNumberFormat="1" applyFont="1" applyFill="1" applyBorder="1" applyAlignment="1">
      <alignment horizontal="center" vertical="center"/>
    </xf>
    <xf numFmtId="192" fontId="51" fillId="0" borderId="4" xfId="0" applyNumberFormat="1" applyFont="1" applyFill="1" applyBorder="1" applyAlignment="1">
      <alignment horizontal="center" vertical="center"/>
    </xf>
    <xf numFmtId="191" fontId="51" fillId="0" borderId="4" xfId="0" applyNumberFormat="1" applyFont="1" applyFill="1" applyBorder="1" applyAlignment="1">
      <alignment horizontal="center" vertical="center"/>
    </xf>
    <xf numFmtId="193" fontId="52" fillId="0" borderId="4" xfId="0" applyNumberFormat="1" applyFont="1" applyFill="1" applyBorder="1" applyAlignment="1">
      <alignment horizontal="center" vertical="center"/>
    </xf>
    <xf numFmtId="1" fontId="52" fillId="0" borderId="4" xfId="0" applyNumberFormat="1" applyFont="1" applyFill="1" applyBorder="1" applyAlignment="1">
      <alignment horizontal="center" vertical="center"/>
    </xf>
    <xf numFmtId="194" fontId="51" fillId="0" borderId="4" xfId="0" applyNumberFormat="1" applyFont="1" applyFill="1" applyBorder="1" applyAlignment="1">
      <alignment horizontal="center" vertical="center"/>
    </xf>
    <xf numFmtId="196" fontId="18" fillId="0" borderId="4" xfId="0" applyNumberFormat="1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/>
    </xf>
    <xf numFmtId="190" fontId="53" fillId="0" borderId="4" xfId="0" applyNumberFormat="1" applyFont="1" applyBorder="1" applyAlignment="1">
      <alignment horizontal="center" vertical="center"/>
    </xf>
    <xf numFmtId="188" fontId="53" fillId="5" borderId="4" xfId="0" applyNumberFormat="1" applyFont="1" applyFill="1" applyBorder="1" applyAlignment="1">
      <alignment horizontal="center" vertical="center" wrapText="1"/>
    </xf>
    <xf numFmtId="189" fontId="54" fillId="0" borderId="4" xfId="0" applyNumberFormat="1" applyFont="1" applyFill="1" applyBorder="1" applyAlignment="1">
      <alignment horizontal="center" vertical="center"/>
    </xf>
    <xf numFmtId="10" fontId="54" fillId="0" borderId="4" xfId="0" applyNumberFormat="1" applyFont="1" applyFill="1" applyBorder="1" applyAlignment="1">
      <alignment horizontal="center" vertical="center"/>
    </xf>
    <xf numFmtId="195" fontId="53" fillId="0" borderId="4" xfId="0" applyNumberFormat="1" applyFont="1" applyFill="1" applyBorder="1" applyAlignment="1">
      <alignment horizontal="center" vertical="center"/>
    </xf>
    <xf numFmtId="192" fontId="53" fillId="0" borderId="4" xfId="0" applyNumberFormat="1" applyFont="1" applyFill="1" applyBorder="1" applyAlignment="1">
      <alignment horizontal="center" vertical="center"/>
    </xf>
    <xf numFmtId="191" fontId="53" fillId="0" borderId="4" xfId="0" applyNumberFormat="1" applyFont="1" applyFill="1" applyBorder="1" applyAlignment="1">
      <alignment horizontal="center" vertical="center"/>
    </xf>
    <xf numFmtId="194" fontId="53" fillId="0" borderId="4" xfId="0" applyNumberFormat="1" applyFont="1" applyFill="1" applyBorder="1" applyAlignment="1">
      <alignment horizontal="center" vertical="center"/>
    </xf>
    <xf numFmtId="196" fontId="54" fillId="0" borderId="4" xfId="0" applyNumberFormat="1" applyFont="1" applyFill="1" applyBorder="1" applyAlignment="1">
      <alignment horizontal="center" vertical="center"/>
    </xf>
    <xf numFmtId="178" fontId="54" fillId="0" borderId="4" xfId="0" applyNumberFormat="1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/>
    </xf>
    <xf numFmtId="0" fontId="55" fillId="5" borderId="65" xfId="0" applyFont="1" applyFill="1" applyBorder="1" applyAlignment="1">
      <alignment horizontal="center"/>
    </xf>
    <xf numFmtId="0" fontId="55" fillId="5" borderId="66" xfId="0" applyFont="1" applyFill="1" applyBorder="1" applyAlignment="1">
      <alignment horizontal="center"/>
    </xf>
    <xf numFmtId="0" fontId="55" fillId="5" borderId="67" xfId="0" applyFont="1" applyFill="1" applyBorder="1" applyAlignment="1">
      <alignment horizontal="center"/>
    </xf>
    <xf numFmtId="0" fontId="51" fillId="5" borderId="68" xfId="0" applyFont="1" applyFill="1" applyBorder="1"/>
    <xf numFmtId="0" fontId="55" fillId="5" borderId="68" xfId="0" applyFont="1" applyFill="1" applyBorder="1" applyAlignment="1">
      <alignment horizontal="center"/>
    </xf>
    <xf numFmtId="0" fontId="51" fillId="5" borderId="69" xfId="0" applyFont="1" applyFill="1" applyBorder="1"/>
    <xf numFmtId="0" fontId="51" fillId="5" borderId="70" xfId="0" applyFont="1" applyFill="1" applyBorder="1" applyAlignment="1">
      <alignment horizontal="centerContinuous"/>
    </xf>
    <xf numFmtId="0" fontId="51" fillId="5" borderId="71" xfId="0" applyFont="1" applyFill="1" applyBorder="1" applyAlignment="1">
      <alignment horizontal="center"/>
    </xf>
    <xf numFmtId="15" fontId="51" fillId="5" borderId="72" xfId="0" applyNumberFormat="1" applyFont="1" applyFill="1" applyBorder="1" applyAlignment="1">
      <alignment horizontal="center"/>
    </xf>
    <xf numFmtId="15" fontId="51" fillId="5" borderId="73" xfId="0" applyNumberFormat="1" applyFont="1" applyFill="1" applyBorder="1" applyAlignment="1">
      <alignment horizontal="center"/>
    </xf>
    <xf numFmtId="15" fontId="51" fillId="5" borderId="74" xfId="0" applyNumberFormat="1" applyFont="1" applyFill="1" applyBorder="1" applyAlignment="1">
      <alignment horizontal="center"/>
    </xf>
    <xf numFmtId="0" fontId="51" fillId="5" borderId="0" xfId="0" applyFont="1" applyFill="1" applyBorder="1"/>
    <xf numFmtId="0" fontId="51" fillId="5" borderId="0" xfId="0" applyFont="1" applyFill="1" applyBorder="1" applyAlignment="1">
      <alignment horizontal="center"/>
    </xf>
    <xf numFmtId="0" fontId="51" fillId="5" borderId="56" xfId="0" applyFont="1" applyFill="1" applyBorder="1"/>
    <xf numFmtId="0" fontId="51" fillId="5" borderId="22" xfId="0" applyFont="1" applyFill="1" applyBorder="1"/>
    <xf numFmtId="0" fontId="51" fillId="5" borderId="73" xfId="0" applyFont="1" applyFill="1" applyBorder="1" applyAlignment="1">
      <alignment horizontal="center"/>
    </xf>
    <xf numFmtId="0" fontId="51" fillId="5" borderId="75" xfId="0" applyFont="1" applyFill="1" applyBorder="1"/>
    <xf numFmtId="0" fontId="51" fillId="5" borderId="75" xfId="0" applyFont="1" applyFill="1" applyBorder="1" applyAlignment="1">
      <alignment horizontal="center"/>
    </xf>
    <xf numFmtId="0" fontId="51" fillId="5" borderId="76" xfId="0" applyFont="1" applyFill="1" applyBorder="1"/>
    <xf numFmtId="16" fontId="56" fillId="5" borderId="77" xfId="0" quotePrefix="1" applyNumberFormat="1" applyFont="1" applyFill="1" applyBorder="1" applyAlignment="1">
      <alignment horizontal="center"/>
    </xf>
    <xf numFmtId="0" fontId="51" fillId="5" borderId="78" xfId="0" quotePrefix="1" applyFont="1" applyFill="1" applyBorder="1" applyAlignment="1">
      <alignment horizontal="center"/>
    </xf>
    <xf numFmtId="0" fontId="51" fillId="5" borderId="72" xfId="0" applyFont="1" applyFill="1" applyBorder="1"/>
    <xf numFmtId="0" fontId="51" fillId="5" borderId="77" xfId="0" applyFont="1" applyFill="1" applyBorder="1" applyAlignment="1">
      <alignment horizontal="center"/>
    </xf>
    <xf numFmtId="0" fontId="51" fillId="5" borderId="79" xfId="0" applyFont="1" applyFill="1" applyBorder="1" applyAlignment="1">
      <alignment horizontal="center"/>
    </xf>
    <xf numFmtId="15" fontId="51" fillId="5" borderId="80" xfId="0" applyNumberFormat="1" applyFont="1" applyFill="1" applyBorder="1" applyAlignment="1">
      <alignment horizontal="center"/>
    </xf>
    <xf numFmtId="0" fontId="51" fillId="5" borderId="81" xfId="0" applyFont="1" applyFill="1" applyBorder="1" applyAlignment="1">
      <alignment horizontal="center"/>
    </xf>
    <xf numFmtId="0" fontId="51" fillId="5" borderId="16" xfId="0" applyFont="1" applyFill="1" applyBorder="1"/>
    <xf numFmtId="0" fontId="51" fillId="5" borderId="16" xfId="0" applyFont="1" applyFill="1" applyBorder="1" applyAlignment="1">
      <alignment horizontal="center"/>
    </xf>
    <xf numFmtId="0" fontId="51" fillId="5" borderId="82" xfId="0" applyFont="1" applyFill="1" applyBorder="1"/>
    <xf numFmtId="0" fontId="51" fillId="5" borderId="17" xfId="0" applyFont="1" applyFill="1" applyBorder="1"/>
    <xf numFmtId="0" fontId="13" fillId="0" borderId="0" xfId="0" applyFont="1" applyAlignment="1">
      <alignment horizontal="left" vertical="center"/>
    </xf>
    <xf numFmtId="0" fontId="57" fillId="4" borderId="83" xfId="0" applyFont="1" applyFill="1" applyBorder="1" applyAlignment="1">
      <alignment horizontal="center" wrapText="1"/>
    </xf>
    <xf numFmtId="0" fontId="59" fillId="4" borderId="84" xfId="0" applyFont="1" applyFill="1" applyBorder="1" applyAlignment="1">
      <alignment horizontal="center" wrapText="1"/>
    </xf>
    <xf numFmtId="0" fontId="58" fillId="5" borderId="85" xfId="0" applyFont="1" applyFill="1" applyBorder="1" applyAlignment="1">
      <alignment horizontal="center" wrapText="1"/>
    </xf>
    <xf numFmtId="0" fontId="57" fillId="5" borderId="85" xfId="0" applyFont="1" applyFill="1" applyBorder="1" applyAlignment="1">
      <alignment horizontal="center" wrapText="1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2" fontId="0" fillId="0" borderId="87" xfId="0" applyNumberFormat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9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97" fontId="52" fillId="0" borderId="4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177" fontId="11" fillId="5" borderId="0" xfId="0" applyNumberFormat="1" applyFont="1" applyFill="1" applyAlignment="1">
      <alignment horizontal="right"/>
    </xf>
    <xf numFmtId="200" fontId="10" fillId="5" borderId="0" xfId="0" applyNumberFormat="1" applyFont="1" applyFill="1" applyAlignment="1">
      <alignment horizontal="right"/>
    </xf>
    <xf numFmtId="200" fontId="11" fillId="5" borderId="0" xfId="0" applyNumberFormat="1" applyFont="1" applyFill="1" applyAlignment="1">
      <alignment horizontal="right"/>
    </xf>
    <xf numFmtId="183" fontId="0" fillId="5" borderId="0" xfId="0" applyNumberFormat="1" applyFill="1" applyAlignment="1">
      <alignment horizontal="right"/>
    </xf>
    <xf numFmtId="199" fontId="0" fillId="5" borderId="0" xfId="0" applyNumberFormat="1" applyFill="1" applyAlignment="1">
      <alignment horizontal="right"/>
    </xf>
    <xf numFmtId="176" fontId="11" fillId="5" borderId="0" xfId="0" applyNumberFormat="1" applyFont="1" applyFill="1" applyAlignment="1">
      <alignment horizontal="right"/>
    </xf>
    <xf numFmtId="182" fontId="11" fillId="5" borderId="0" xfId="0" applyNumberFormat="1" applyFont="1" applyFill="1" applyAlignment="1">
      <alignment horizontal="right"/>
    </xf>
    <xf numFmtId="201" fontId="10" fillId="5" borderId="0" xfId="0" applyNumberFormat="1" applyFont="1" applyFill="1" applyAlignment="1">
      <alignment horizontal="right"/>
    </xf>
    <xf numFmtId="0" fontId="0" fillId="0" borderId="19" xfId="0" applyBorder="1"/>
    <xf numFmtId="0" fontId="0" fillId="0" borderId="20" xfId="0" applyBorder="1"/>
    <xf numFmtId="0" fontId="60" fillId="4" borderId="18" xfId="0" applyFont="1" applyFill="1" applyBorder="1" applyAlignment="1">
      <alignment wrapText="1"/>
    </xf>
    <xf numFmtId="0" fontId="60" fillId="4" borderId="52" xfId="0" applyFont="1" applyFill="1" applyBorder="1" applyAlignment="1">
      <alignment wrapText="1"/>
    </xf>
    <xf numFmtId="0" fontId="60" fillId="4" borderId="19" xfId="0" applyFont="1" applyFill="1" applyBorder="1" applyAlignment="1">
      <alignment wrapText="1"/>
    </xf>
    <xf numFmtId="0" fontId="60" fillId="4" borderId="6" xfId="0" applyFont="1" applyFill="1" applyBorder="1" applyAlignment="1">
      <alignment wrapText="1"/>
    </xf>
    <xf numFmtId="0" fontId="60" fillId="4" borderId="91" xfId="0" applyFont="1" applyFill="1" applyBorder="1" applyAlignment="1">
      <alignment wrapText="1"/>
    </xf>
    <xf numFmtId="0" fontId="60" fillId="4" borderId="0" xfId="0" applyFont="1" applyFill="1" applyAlignment="1">
      <alignment wrapText="1"/>
    </xf>
    <xf numFmtId="0" fontId="60" fillId="4" borderId="8" xfId="0" applyFont="1" applyFill="1" applyBorder="1" applyAlignment="1">
      <alignment wrapText="1"/>
    </xf>
    <xf numFmtId="0" fontId="60" fillId="4" borderId="53" xfId="0" applyFont="1" applyFill="1" applyBorder="1" applyAlignment="1">
      <alignment wrapText="1"/>
    </xf>
    <xf numFmtId="0" fontId="60" fillId="4" borderId="9" xfId="0" applyFont="1" applyFill="1" applyBorder="1" applyAlignment="1">
      <alignment wrapText="1"/>
    </xf>
    <xf numFmtId="0" fontId="60" fillId="0" borderId="8" xfId="0" applyFont="1" applyBorder="1" applyAlignment="1">
      <alignment wrapText="1"/>
    </xf>
    <xf numFmtId="0" fontId="60" fillId="0" borderId="53" xfId="0" applyFont="1" applyBorder="1" applyAlignment="1">
      <alignment wrapText="1"/>
    </xf>
    <xf numFmtId="0" fontId="60" fillId="0" borderId="9" xfId="0" applyFont="1" applyBorder="1" applyAlignment="1">
      <alignment wrapText="1"/>
    </xf>
    <xf numFmtId="0" fontId="60" fillId="15" borderId="53" xfId="0" applyFont="1" applyFill="1" applyBorder="1" applyAlignment="1">
      <alignment wrapText="1"/>
    </xf>
    <xf numFmtId="0" fontId="60" fillId="15" borderId="10" xfId="0" applyFont="1" applyFill="1" applyBorder="1" applyAlignment="1">
      <alignment wrapText="1"/>
    </xf>
    <xf numFmtId="0" fontId="0" fillId="0" borderId="18" xfId="0" applyBorder="1"/>
    <xf numFmtId="0" fontId="0" fillId="0" borderId="6" xfId="0" applyBorder="1"/>
    <xf numFmtId="0" fontId="13" fillId="0" borderId="0" xfId="0" applyFont="1" applyBorder="1"/>
    <xf numFmtId="0" fontId="0" fillId="0" borderId="8" xfId="0" applyBorder="1"/>
    <xf numFmtId="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5" fillId="0" borderId="19" xfId="0" applyFont="1" applyBorder="1"/>
    <xf numFmtId="167" fontId="5" fillId="0" borderId="19" xfId="0" applyNumberFormat="1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7" xfId="0" applyFont="1" applyBorder="1"/>
    <xf numFmtId="167" fontId="0" fillId="8" borderId="9" xfId="0" applyNumberFormat="1" applyFill="1" applyBorder="1"/>
    <xf numFmtId="167" fontId="0" fillId="0" borderId="9" xfId="0" applyNumberFormat="1" applyBorder="1"/>
    <xf numFmtId="0" fontId="5" fillId="0" borderId="8" xfId="0" applyFont="1" applyBorder="1"/>
    <xf numFmtId="0" fontId="5" fillId="0" borderId="9" xfId="0" applyFont="1" applyBorder="1"/>
    <xf numFmtId="167" fontId="5" fillId="8" borderId="9" xfId="0" applyNumberFormat="1" applyFont="1" applyFill="1" applyBorder="1"/>
    <xf numFmtId="0" fontId="5" fillId="0" borderId="10" xfId="0" applyFont="1" applyBorder="1"/>
    <xf numFmtId="0" fontId="0" fillId="0" borderId="1" xfId="0" applyBorder="1"/>
    <xf numFmtId="167" fontId="0" fillId="0" borderId="3" xfId="0" applyNumberFormat="1" applyBorder="1"/>
    <xf numFmtId="2" fontId="0" fillId="0" borderId="3" xfId="0" applyNumberFormat="1" applyBorder="1"/>
    <xf numFmtId="202" fontId="0" fillId="8" borderId="0" xfId="0" applyNumberFormat="1" applyFill="1"/>
    <xf numFmtId="204" fontId="0" fillId="0" borderId="0" xfId="0" applyNumberFormat="1" applyFill="1"/>
    <xf numFmtId="0" fontId="9" fillId="0" borderId="0" xfId="0" applyFont="1"/>
    <xf numFmtId="203" fontId="0" fillId="0" borderId="0" xfId="0" applyNumberFormat="1"/>
    <xf numFmtId="197" fontId="0" fillId="0" borderId="0" xfId="0" applyNumberFormat="1"/>
    <xf numFmtId="205" fontId="0" fillId="0" borderId="0" xfId="0" applyNumberFormat="1"/>
    <xf numFmtId="206" fontId="0" fillId="0" borderId="0" xfId="0" applyNumberFormat="1"/>
    <xf numFmtId="207" fontId="13" fillId="0" borderId="0" xfId="0" applyNumberFormat="1" applyFont="1"/>
    <xf numFmtId="208" fontId="0" fillId="0" borderId="0" xfId="0" applyNumberFormat="1"/>
    <xf numFmtId="0" fontId="0" fillId="5" borderId="92" xfId="0" applyFill="1" applyBorder="1"/>
    <xf numFmtId="0" fontId="5" fillId="5" borderId="19" xfId="0" applyFont="1" applyFill="1" applyBorder="1" applyAlignment="1">
      <alignment horizontal="left"/>
    </xf>
    <xf numFmtId="198" fontId="5" fillId="5" borderId="19" xfId="0" applyNumberFormat="1" applyFont="1" applyFill="1" applyBorder="1" applyProtection="1"/>
    <xf numFmtId="49" fontId="11" fillId="5" borderId="19" xfId="0" applyNumberFormat="1" applyFont="1" applyFill="1" applyBorder="1" applyAlignment="1"/>
    <xf numFmtId="0" fontId="5" fillId="5" borderId="6" xfId="0" applyFont="1" applyFill="1" applyBorder="1"/>
    <xf numFmtId="198" fontId="5" fillId="5" borderId="0" xfId="0" applyNumberFormat="1" applyFont="1" applyFill="1" applyBorder="1" applyProtection="1"/>
    <xf numFmtId="198" fontId="5" fillId="5" borderId="56" xfId="0" applyNumberFormat="1" applyFont="1" applyFill="1" applyBorder="1" applyProtection="1"/>
    <xf numFmtId="198" fontId="5" fillId="5" borderId="0" xfId="0" applyNumberFormat="1" applyFont="1" applyFill="1" applyBorder="1" applyAlignment="1" applyProtection="1">
      <alignment horizontal="left"/>
    </xf>
    <xf numFmtId="0" fontId="11" fillId="5" borderId="0" xfId="0" applyFont="1" applyFill="1" applyBorder="1" applyAlignment="1"/>
    <xf numFmtId="0" fontId="0" fillId="5" borderId="56" xfId="0" applyFill="1" applyBorder="1"/>
    <xf numFmtId="0" fontId="5" fillId="5" borderId="93" xfId="0" applyFont="1" applyFill="1" applyBorder="1"/>
    <xf numFmtId="198" fontId="5" fillId="5" borderId="60" xfId="0" applyNumberFormat="1" applyFont="1" applyFill="1" applyBorder="1" applyProtection="1"/>
    <xf numFmtId="198" fontId="5" fillId="5" borderId="59" xfId="0" applyNumberFormat="1" applyFont="1" applyFill="1" applyBorder="1" applyProtection="1"/>
    <xf numFmtId="0" fontId="5" fillId="5" borderId="60" xfId="0" applyFont="1" applyFill="1" applyBorder="1"/>
    <xf numFmtId="0" fontId="0" fillId="5" borderId="59" xfId="0" applyFill="1" applyBorder="1"/>
    <xf numFmtId="0" fontId="0" fillId="5" borderId="61" xfId="0" applyFill="1" applyBorder="1"/>
    <xf numFmtId="0" fontId="5" fillId="5" borderId="60" xfId="0" applyFont="1" applyFill="1" applyBorder="1" applyProtection="1">
      <protection locked="0"/>
    </xf>
    <xf numFmtId="0" fontId="0" fillId="5" borderId="94" xfId="0" applyFill="1" applyBorder="1"/>
    <xf numFmtId="0" fontId="5" fillId="5" borderId="0" xfId="0" applyFont="1" applyFill="1" applyBorder="1" applyProtection="1">
      <protection locked="0"/>
    </xf>
    <xf numFmtId="0" fontId="5" fillId="5" borderId="0" xfId="0" applyFont="1" applyFill="1" applyBorder="1"/>
    <xf numFmtId="0" fontId="5" fillId="5" borderId="0" xfId="0" applyFont="1" applyFill="1" applyBorder="1" applyAlignment="1" applyProtection="1">
      <alignment horizontal="centerContinuous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>
      <alignment vertical="center"/>
    </xf>
    <xf numFmtId="0" fontId="0" fillId="5" borderId="0" xfId="0" applyFill="1" applyBorder="1" applyAlignment="1">
      <alignment horizontal="centerContinuous"/>
    </xf>
    <xf numFmtId="0" fontId="0" fillId="5" borderId="93" xfId="0" applyFill="1" applyBorder="1"/>
    <xf numFmtId="0" fontId="7" fillId="5" borderId="60" xfId="0" applyFont="1" applyFill="1" applyBorder="1" applyAlignment="1">
      <alignment vertical="center" wrapText="1"/>
    </xf>
    <xf numFmtId="0" fontId="0" fillId="5" borderId="60" xfId="0" applyFill="1" applyBorder="1"/>
    <xf numFmtId="0" fontId="7" fillId="5" borderId="60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7" fillId="5" borderId="94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/>
    </xf>
    <xf numFmtId="0" fontId="7" fillId="5" borderId="95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5" fillId="5" borderId="18" xfId="0" applyFont="1" applyFill="1" applyBorder="1"/>
    <xf numFmtId="0" fontId="5" fillId="5" borderId="19" xfId="0" applyFont="1" applyFill="1" applyBorder="1"/>
    <xf numFmtId="0" fontId="5" fillId="5" borderId="20" xfId="0" applyFont="1" applyFill="1" applyBorder="1"/>
    <xf numFmtId="0" fontId="5" fillId="5" borderId="7" xfId="0" applyFont="1" applyFill="1" applyBorder="1"/>
    <xf numFmtId="0" fontId="61" fillId="6" borderId="0" xfId="0" applyFont="1" applyFill="1" applyBorder="1"/>
    <xf numFmtId="0" fontId="22" fillId="6" borderId="0" xfId="0" applyFont="1" applyFill="1" applyBorder="1"/>
    <xf numFmtId="0" fontId="34" fillId="6" borderId="0" xfId="0" applyFont="1" applyFill="1" applyBorder="1"/>
    <xf numFmtId="0" fontId="0" fillId="6" borderId="0" xfId="0" applyFill="1" applyBorder="1"/>
    <xf numFmtId="0" fontId="61" fillId="5" borderId="0" xfId="0" applyFont="1" applyFill="1" applyBorder="1"/>
    <xf numFmtId="0" fontId="22" fillId="5" borderId="0" xfId="0" applyFont="1" applyFill="1" applyBorder="1"/>
    <xf numFmtId="0" fontId="34" fillId="5" borderId="0" xfId="0" applyFont="1" applyFill="1" applyBorder="1"/>
    <xf numFmtId="0" fontId="53" fillId="5" borderId="0" xfId="0" applyFont="1" applyFill="1" applyBorder="1"/>
    <xf numFmtId="0" fontId="10" fillId="5" borderId="0" xfId="0" applyFont="1" applyFill="1" applyBorder="1"/>
    <xf numFmtId="1" fontId="0" fillId="5" borderId="19" xfId="0" applyNumberFormat="1" applyFill="1" applyBorder="1" applyAlignment="1">
      <alignment horizontal="center"/>
    </xf>
    <xf numFmtId="1" fontId="5" fillId="5" borderId="18" xfId="0" applyNumberFormat="1" applyFont="1" applyFill="1" applyBorder="1" applyAlignment="1">
      <alignment horizontal="center"/>
    </xf>
    <xf numFmtId="167" fontId="5" fillId="5" borderId="19" xfId="0" applyNumberFormat="1" applyFont="1" applyFill="1" applyBorder="1"/>
    <xf numFmtId="167" fontId="0" fillId="5" borderId="9" xfId="0" applyNumberFormat="1" applyFill="1" applyBorder="1"/>
    <xf numFmtId="0" fontId="5" fillId="5" borderId="8" xfId="0" applyFont="1" applyFill="1" applyBorder="1"/>
    <xf numFmtId="0" fontId="5" fillId="5" borderId="9" xfId="0" applyFont="1" applyFill="1" applyBorder="1"/>
    <xf numFmtId="167" fontId="5" fillId="5" borderId="9" xfId="0" applyNumberFormat="1" applyFont="1" applyFill="1" applyBorder="1"/>
    <xf numFmtId="0" fontId="5" fillId="5" borderId="10" xfId="0" applyFont="1" applyFill="1" applyBorder="1"/>
    <xf numFmtId="167" fontId="0" fillId="5" borderId="0" xfId="0" applyNumberFormat="1" applyFill="1" applyAlignment="1">
      <alignment horizontal="center"/>
    </xf>
    <xf numFmtId="0" fontId="0" fillId="5" borderId="1" xfId="0" applyFill="1" applyBorder="1"/>
    <xf numFmtId="167" fontId="0" fillId="5" borderId="3" xfId="0" applyNumberFormat="1" applyFill="1" applyBorder="1"/>
    <xf numFmtId="2" fontId="0" fillId="5" borderId="3" xfId="0" applyNumberFormat="1" applyFill="1" applyBorder="1"/>
    <xf numFmtId="0" fontId="0" fillId="5" borderId="96" xfId="0" applyFill="1" applyBorder="1" applyAlignment="1">
      <alignment horizontal="left"/>
    </xf>
    <xf numFmtId="0" fontId="0" fillId="5" borderId="97" xfId="0" applyFill="1" applyBorder="1" applyAlignment="1">
      <alignment horizontal="left"/>
    </xf>
    <xf numFmtId="0" fontId="0" fillId="5" borderId="97" xfId="0" applyFill="1" applyBorder="1" applyAlignment="1">
      <alignment horizontal="center"/>
    </xf>
    <xf numFmtId="0" fontId="0" fillId="5" borderId="98" xfId="0" applyFill="1" applyBorder="1" applyAlignment="1">
      <alignment horizontal="left"/>
    </xf>
    <xf numFmtId="0" fontId="0" fillId="5" borderId="97" xfId="0" applyFill="1" applyBorder="1" applyAlignment="1">
      <alignment horizontal="centerContinuous"/>
    </xf>
    <xf numFmtId="0" fontId="0" fillId="5" borderId="97" xfId="0" applyFill="1" applyBorder="1"/>
    <xf numFmtId="0" fontId="0" fillId="5" borderId="98" xfId="0" applyFill="1" applyBorder="1"/>
    <xf numFmtId="0" fontId="0" fillId="5" borderId="98" xfId="0" applyFill="1" applyBorder="1" applyAlignment="1">
      <alignment horizontal="centerContinuous"/>
    </xf>
    <xf numFmtId="0" fontId="0" fillId="5" borderId="99" xfId="0" applyFill="1" applyBorder="1"/>
    <xf numFmtId="0" fontId="0" fillId="5" borderId="100" xfId="0" applyFill="1" applyBorder="1" applyAlignment="1">
      <alignment horizontal="left"/>
    </xf>
    <xf numFmtId="0" fontId="0" fillId="5" borderId="75" xfId="0" applyFill="1" applyBorder="1" applyAlignment="1">
      <alignment horizontal="left"/>
    </xf>
    <xf numFmtId="14" fontId="0" fillId="5" borderId="75" xfId="0" quotePrefix="1" applyNumberFormat="1" applyFill="1" applyBorder="1" applyAlignment="1">
      <alignment horizontal="center"/>
    </xf>
    <xf numFmtId="0" fontId="0" fillId="5" borderId="76" xfId="0" applyFill="1" applyBorder="1" applyAlignment="1">
      <alignment horizontal="left"/>
    </xf>
    <xf numFmtId="0" fontId="0" fillId="5" borderId="75" xfId="0" applyFill="1" applyBorder="1" applyAlignment="1">
      <alignment horizontal="centerContinuous"/>
    </xf>
    <xf numFmtId="0" fontId="0" fillId="5" borderId="75" xfId="0" applyFill="1" applyBorder="1"/>
    <xf numFmtId="0" fontId="0" fillId="5" borderId="76" xfId="0" applyFill="1" applyBorder="1"/>
    <xf numFmtId="0" fontId="0" fillId="5" borderId="76" xfId="0" applyFill="1" applyBorder="1" applyAlignment="1">
      <alignment horizontal="centerContinuous"/>
    </xf>
    <xf numFmtId="16" fontId="0" fillId="5" borderId="75" xfId="0" quotePrefix="1" applyNumberFormat="1" applyFill="1" applyBorder="1" applyAlignment="1">
      <alignment horizontal="right"/>
    </xf>
    <xf numFmtId="0" fontId="0" fillId="5" borderId="101" xfId="0" applyFill="1" applyBorder="1"/>
    <xf numFmtId="0" fontId="0" fillId="5" borderId="95" xfId="0" applyFill="1" applyBorder="1"/>
    <xf numFmtId="0" fontId="0" fillId="5" borderId="102" xfId="0" applyFill="1" applyBorder="1"/>
    <xf numFmtId="202" fontId="0" fillId="5" borderId="0" xfId="0" applyNumberFormat="1" applyFill="1"/>
    <xf numFmtId="204" fontId="0" fillId="5" borderId="0" xfId="0" applyNumberFormat="1" applyFill="1"/>
    <xf numFmtId="203" fontId="0" fillId="5" borderId="0" xfId="0" applyNumberFormat="1" applyFill="1"/>
    <xf numFmtId="197" fontId="0" fillId="5" borderId="0" xfId="0" applyNumberFormat="1" applyFill="1"/>
    <xf numFmtId="208" fontId="0" fillId="5" borderId="0" xfId="0" applyNumberFormat="1" applyFill="1"/>
    <xf numFmtId="206" fontId="0" fillId="5" borderId="0" xfId="0" applyNumberFormat="1" applyFill="1"/>
    <xf numFmtId="207" fontId="13" fillId="5" borderId="0" xfId="0" applyNumberFormat="1" applyFont="1" applyFill="1"/>
    <xf numFmtId="205" fontId="0" fillId="5" borderId="0" xfId="0" applyNumberFormat="1" applyFill="1"/>
    <xf numFmtId="0" fontId="5" fillId="5" borderId="0" xfId="0" applyFont="1" applyFill="1" applyAlignment="1">
      <alignment horizontal="right"/>
    </xf>
    <xf numFmtId="0" fontId="13" fillId="5" borderId="0" xfId="0" applyFont="1" applyFill="1" applyAlignment="1">
      <alignment horizontal="right"/>
    </xf>
    <xf numFmtId="209" fontId="0" fillId="5" borderId="0" xfId="0" applyNumberFormat="1" applyFill="1"/>
    <xf numFmtId="206" fontId="0" fillId="5" borderId="0" xfId="0" applyNumberFormat="1" applyFill="1" applyBorder="1"/>
    <xf numFmtId="0" fontId="13" fillId="5" borderId="0" xfId="0" applyFont="1" applyFill="1" applyBorder="1" applyAlignment="1">
      <alignment horizontal="right"/>
    </xf>
    <xf numFmtId="207" fontId="13" fillId="5" borderId="0" xfId="0" applyNumberFormat="1" applyFont="1" applyFill="1" applyBorder="1"/>
    <xf numFmtId="0" fontId="0" fillId="5" borderId="0" xfId="0" applyFill="1" applyBorder="1" applyAlignment="1">
      <alignment horizontal="left"/>
    </xf>
    <xf numFmtId="207" fontId="13" fillId="5" borderId="0" xfId="0" applyNumberFormat="1" applyFont="1" applyFill="1" applyAlignment="1">
      <alignment horizontal="center"/>
    </xf>
    <xf numFmtId="204" fontId="0" fillId="8" borderId="0" xfId="0" applyNumberFormat="1" applyFill="1"/>
    <xf numFmtId="203" fontId="0" fillId="8" borderId="0" xfId="0" applyNumberFormat="1" applyFill="1"/>
    <xf numFmtId="197" fontId="0" fillId="8" borderId="0" xfId="0" applyNumberFormat="1" applyFill="1"/>
    <xf numFmtId="0" fontId="49" fillId="5" borderId="0" xfId="0" applyFont="1" applyFill="1" applyAlignment="1">
      <alignment horizontal="center"/>
    </xf>
    <xf numFmtId="205" fontId="13" fillId="8" borderId="0" xfId="0" applyNumberFormat="1" applyFont="1" applyFill="1"/>
    <xf numFmtId="210" fontId="0" fillId="5" borderId="0" xfId="0" applyNumberFormat="1" applyFill="1"/>
    <xf numFmtId="0" fontId="49" fillId="5" borderId="0" xfId="0" applyFont="1" applyFill="1" applyAlignment="1">
      <alignment horizontal="right"/>
    </xf>
    <xf numFmtId="0" fontId="61" fillId="6" borderId="0" xfId="0" applyFont="1" applyFill="1" applyBorder="1" applyAlignment="1">
      <alignment horizontal="left"/>
    </xf>
    <xf numFmtId="205" fontId="0" fillId="5" borderId="0" xfId="0" applyNumberFormat="1" applyFill="1" applyBorder="1"/>
    <xf numFmtId="211" fontId="13" fillId="5" borderId="0" xfId="0" applyNumberFormat="1" applyFont="1" applyFill="1" applyBorder="1"/>
    <xf numFmtId="212" fontId="13" fillId="5" borderId="0" xfId="0" applyNumberFormat="1" applyFont="1" applyFill="1" applyBorder="1"/>
    <xf numFmtId="199" fontId="13" fillId="0" borderId="0" xfId="0" applyNumberFormat="1" applyFont="1" applyFill="1"/>
    <xf numFmtId="0" fontId="0" fillId="5" borderId="76" xfId="0" applyFill="1" applyBorder="1" applyAlignment="1">
      <alignment horizontal="center"/>
    </xf>
    <xf numFmtId="14" fontId="0" fillId="5" borderId="100" xfId="0" quotePrefix="1" applyNumberFormat="1" applyFill="1" applyBorder="1" applyAlignment="1">
      <alignment horizontal="center"/>
    </xf>
    <xf numFmtId="14" fontId="0" fillId="5" borderId="76" xfId="0" quotePrefix="1" applyNumberFormat="1" applyFill="1" applyBorder="1" applyAlignment="1">
      <alignment horizontal="center"/>
    </xf>
    <xf numFmtId="0" fontId="0" fillId="5" borderId="72" xfId="0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13" fillId="5" borderId="42" xfId="0" applyFont="1" applyFill="1" applyBorder="1" applyAlignment="1"/>
    <xf numFmtId="0" fontId="13" fillId="5" borderId="13" xfId="0" applyFont="1" applyFill="1" applyBorder="1" applyAlignment="1"/>
    <xf numFmtId="0" fontId="13" fillId="5" borderId="14" xfId="0" applyFont="1" applyFill="1" applyBorder="1" applyAlignment="1"/>
    <xf numFmtId="0" fontId="22" fillId="6" borderId="0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2" fontId="13" fillId="5" borderId="22" xfId="0" applyNumberFormat="1" applyFont="1" applyFill="1" applyBorder="1" applyAlignment="1">
      <alignment horizontal="center" wrapText="1"/>
    </xf>
    <xf numFmtId="0" fontId="0" fillId="5" borderId="3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2" fontId="0" fillId="5" borderId="32" xfId="0" applyNumberFormat="1" applyFill="1" applyBorder="1" applyAlignment="1">
      <alignment horizontal="center"/>
    </xf>
    <xf numFmtId="0" fontId="63" fillId="6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0" fontId="47" fillId="6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22" fillId="6" borderId="0" xfId="0" applyFont="1" applyFill="1" applyBorder="1" applyAlignment="1"/>
    <xf numFmtId="0" fontId="10" fillId="8" borderId="18" xfId="0" applyFont="1" applyFill="1" applyBorder="1" applyAlignment="1">
      <alignment horizontal="left"/>
    </xf>
    <xf numFmtId="2" fontId="38" fillId="8" borderId="19" xfId="0" applyNumberFormat="1" applyFont="1" applyFill="1" applyBorder="1"/>
    <xf numFmtId="0" fontId="38" fillId="8" borderId="20" xfId="0" applyFont="1" applyFill="1" applyBorder="1"/>
    <xf numFmtId="0" fontId="10" fillId="8" borderId="8" xfId="0" applyFont="1" applyFill="1" applyBorder="1" applyAlignment="1">
      <alignment horizontal="left"/>
    </xf>
    <xf numFmtId="2" fontId="38" fillId="8" borderId="9" xfId="0" applyNumberFormat="1" applyFont="1" applyFill="1" applyBorder="1"/>
    <xf numFmtId="0" fontId="38" fillId="8" borderId="10" xfId="0" applyFont="1" applyFill="1" applyBorder="1"/>
    <xf numFmtId="0" fontId="36" fillId="5" borderId="0" xfId="0" applyFont="1" applyFill="1"/>
    <xf numFmtId="0" fontId="35" fillId="5" borderId="0" xfId="0" applyFont="1" applyFill="1"/>
    <xf numFmtId="0" fontId="13" fillId="5" borderId="0" xfId="0" applyFont="1" applyFill="1" applyBorder="1" applyAlignment="1">
      <alignment horizontal="left"/>
    </xf>
    <xf numFmtId="0" fontId="65" fillId="5" borderId="0" xfId="0" applyFont="1" applyFill="1" applyBorder="1" applyAlignment="1" applyProtection="1">
      <alignment horizontal="center" vertical="center"/>
    </xf>
    <xf numFmtId="2" fontId="10" fillId="5" borderId="0" xfId="0" applyNumberFormat="1" applyFont="1" applyFill="1" applyBorder="1" applyAlignment="1" applyProtection="1">
      <alignment horizontal="center" vertical="center"/>
    </xf>
    <xf numFmtId="2" fontId="13" fillId="5" borderId="0" xfId="0" applyNumberFormat="1" applyFont="1" applyFill="1" applyBorder="1" applyAlignment="1" applyProtection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166" fontId="0" fillId="5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213" fontId="0" fillId="5" borderId="0" xfId="0" applyNumberFormat="1" applyFill="1"/>
    <xf numFmtId="214" fontId="11" fillId="5" borderId="0" xfId="0" applyNumberFormat="1" applyFont="1" applyFill="1"/>
    <xf numFmtId="215" fontId="11" fillId="5" borderId="0" xfId="0" applyNumberFormat="1" applyFont="1" applyFill="1"/>
    <xf numFmtId="0" fontId="5" fillId="5" borderId="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216" fontId="0" fillId="5" borderId="0" xfId="0" applyNumberFormat="1" applyFill="1"/>
    <xf numFmtId="216" fontId="0" fillId="5" borderId="9" xfId="0" applyNumberFormat="1" applyFill="1" applyBorder="1"/>
    <xf numFmtId="216" fontId="0" fillId="5" borderId="0" xfId="0" applyNumberFormat="1" applyFill="1" applyBorder="1" applyAlignment="1">
      <alignment horizontal="center"/>
    </xf>
    <xf numFmtId="217" fontId="0" fillId="5" borderId="0" xfId="0" applyNumberFormat="1" applyFill="1" applyAlignment="1">
      <alignment horizontal="center" vertical="center"/>
    </xf>
    <xf numFmtId="218" fontId="11" fillId="5" borderId="0" xfId="0" applyNumberFormat="1" applyFont="1" applyFill="1"/>
    <xf numFmtId="219" fontId="0" fillId="5" borderId="0" xfId="0" applyNumberFormat="1" applyFill="1"/>
    <xf numFmtId="219" fontId="0" fillId="5" borderId="9" xfId="0" applyNumberFormat="1" applyFill="1" applyBorder="1"/>
    <xf numFmtId="219" fontId="0" fillId="5" borderId="0" xfId="0" applyNumberFormat="1" applyFill="1" applyBorder="1" applyAlignment="1">
      <alignment horizontal="center"/>
    </xf>
    <xf numFmtId="220" fontId="0" fillId="5" borderId="0" xfId="0" applyNumberFormat="1" applyFill="1"/>
    <xf numFmtId="221" fontId="0" fillId="5" borderId="0" xfId="0" applyNumberFormat="1" applyFill="1"/>
    <xf numFmtId="164" fontId="0" fillId="0" borderId="0" xfId="1" applyFont="1"/>
    <xf numFmtId="2" fontId="0" fillId="0" borderId="0" xfId="0" applyNumberFormat="1"/>
    <xf numFmtId="207" fontId="0" fillId="0" borderId="0" xfId="0" applyNumberFormat="1"/>
    <xf numFmtId="0" fontId="18" fillId="5" borderId="0" xfId="0" applyFont="1" applyFill="1" applyBorder="1"/>
    <xf numFmtId="222" fontId="13" fillId="5" borderId="0" xfId="0" applyNumberFormat="1" applyFont="1" applyFill="1" applyBorder="1"/>
    <xf numFmtId="223" fontId="13" fillId="5" borderId="0" xfId="0" applyNumberFormat="1" applyFont="1" applyFill="1" applyBorder="1"/>
    <xf numFmtId="224" fontId="13" fillId="5" borderId="0" xfId="0" applyNumberFormat="1" applyFont="1" applyFill="1" applyBorder="1"/>
    <xf numFmtId="182" fontId="13" fillId="5" borderId="0" xfId="0" applyNumberFormat="1" applyFont="1" applyFill="1" applyBorder="1"/>
    <xf numFmtId="177" fontId="13" fillId="5" borderId="0" xfId="0" applyNumberFormat="1" applyFont="1" applyFill="1" applyBorder="1"/>
    <xf numFmtId="165" fontId="13" fillId="5" borderId="0" xfId="0" applyNumberFormat="1" applyFont="1" applyFill="1" applyBorder="1"/>
    <xf numFmtId="173" fontId="13" fillId="5" borderId="0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left"/>
    </xf>
    <xf numFmtId="225" fontId="13" fillId="5" borderId="0" xfId="0" applyNumberFormat="1" applyFont="1" applyFill="1" applyBorder="1" applyAlignment="1">
      <alignment horizontal="center"/>
    </xf>
    <xf numFmtId="0" fontId="49" fillId="5" borderId="18" xfId="0" applyFont="1" applyFill="1" applyBorder="1"/>
    <xf numFmtId="0" fontId="49" fillId="5" borderId="19" xfId="0" applyFont="1" applyFill="1" applyBorder="1"/>
    <xf numFmtId="0" fontId="49" fillId="5" borderId="92" xfId="0" applyFont="1" applyFill="1" applyBorder="1"/>
    <xf numFmtId="0" fontId="49" fillId="5" borderId="19" xfId="0" applyFont="1" applyFill="1" applyBorder="1" applyAlignment="1">
      <alignment horizontal="left"/>
    </xf>
    <xf numFmtId="198" fontId="49" fillId="5" borderId="19" xfId="0" applyNumberFormat="1" applyFont="1" applyFill="1" applyBorder="1" applyProtection="1"/>
    <xf numFmtId="49" fontId="66" fillId="5" borderId="19" xfId="0" applyNumberFormat="1" applyFont="1" applyFill="1" applyBorder="1" applyAlignment="1"/>
    <xf numFmtId="0" fontId="49" fillId="5" borderId="19" xfId="0" applyFont="1" applyFill="1" applyBorder="1" applyAlignment="1">
      <alignment horizontal="center"/>
    </xf>
    <xf numFmtId="0" fontId="49" fillId="5" borderId="20" xfId="0" applyFont="1" applyFill="1" applyBorder="1"/>
    <xf numFmtId="0" fontId="49" fillId="5" borderId="6" xfId="0" applyFont="1" applyFill="1" applyBorder="1"/>
    <xf numFmtId="198" fontId="49" fillId="5" borderId="56" xfId="0" applyNumberFormat="1" applyFont="1" applyFill="1" applyBorder="1" applyProtection="1"/>
    <xf numFmtId="198" fontId="49" fillId="5" borderId="0" xfId="0" applyNumberFormat="1" applyFont="1" applyFill="1" applyBorder="1" applyAlignment="1" applyProtection="1">
      <alignment horizontal="left"/>
    </xf>
    <xf numFmtId="0" fontId="66" fillId="5" borderId="0" xfId="0" applyFont="1" applyFill="1" applyBorder="1" applyAlignment="1"/>
    <xf numFmtId="0" fontId="49" fillId="5" borderId="7" xfId="0" applyFont="1" applyFill="1" applyBorder="1"/>
    <xf numFmtId="0" fontId="49" fillId="5" borderId="93" xfId="0" applyFont="1" applyFill="1" applyBorder="1"/>
    <xf numFmtId="198" fontId="49" fillId="5" borderId="60" xfId="0" applyNumberFormat="1" applyFont="1" applyFill="1" applyBorder="1" applyProtection="1"/>
    <xf numFmtId="0" fontId="49" fillId="5" borderId="60" xfId="0" applyFont="1" applyFill="1" applyBorder="1" applyProtection="1">
      <protection locked="0"/>
    </xf>
    <xf numFmtId="0" fontId="49" fillId="5" borderId="94" xfId="0" applyFont="1" applyFill="1" applyBorder="1"/>
    <xf numFmtId="0" fontId="49" fillId="5" borderId="0" xfId="0" applyFont="1" applyFill="1" applyBorder="1" applyAlignment="1" applyProtection="1">
      <alignment horizontal="centerContinuous"/>
      <protection locked="0"/>
    </xf>
    <xf numFmtId="0" fontId="49" fillId="5" borderId="0" xfId="0" applyFont="1" applyFill="1" applyBorder="1" applyAlignment="1" applyProtection="1">
      <alignment horizontal="center"/>
      <protection locked="0"/>
    </xf>
    <xf numFmtId="0" fontId="66" fillId="5" borderId="0" xfId="0" applyFont="1" applyFill="1" applyBorder="1" applyAlignment="1">
      <alignment vertical="center"/>
    </xf>
    <xf numFmtId="0" fontId="67" fillId="5" borderId="60" xfId="0" applyFont="1" applyFill="1" applyBorder="1" applyAlignment="1">
      <alignment vertical="center" wrapText="1"/>
    </xf>
    <xf numFmtId="0" fontId="67" fillId="5" borderId="60" xfId="0" applyFont="1" applyFill="1" applyBorder="1" applyAlignment="1">
      <alignment vertical="center"/>
    </xf>
    <xf numFmtId="0" fontId="67" fillId="5" borderId="59" xfId="0" applyFont="1" applyFill="1" applyBorder="1" applyAlignment="1">
      <alignment vertical="center"/>
    </xf>
    <xf numFmtId="0" fontId="67" fillId="5" borderId="94" xfId="0" applyFont="1" applyFill="1" applyBorder="1" applyAlignment="1">
      <alignment vertical="center"/>
    </xf>
    <xf numFmtId="0" fontId="67" fillId="5" borderId="8" xfId="0" applyFont="1" applyFill="1" applyBorder="1" applyAlignment="1">
      <alignment vertical="center" wrapText="1"/>
    </xf>
    <xf numFmtId="0" fontId="67" fillId="5" borderId="9" xfId="0" applyFont="1" applyFill="1" applyBorder="1" applyAlignment="1">
      <alignment vertical="center" wrapText="1"/>
    </xf>
    <xf numFmtId="0" fontId="67" fillId="5" borderId="9" xfId="0" applyFont="1" applyFill="1" applyBorder="1" applyAlignment="1">
      <alignment vertical="center"/>
    </xf>
    <xf numFmtId="0" fontId="67" fillId="5" borderId="95" xfId="0" applyFont="1" applyFill="1" applyBorder="1" applyAlignment="1">
      <alignment vertical="center"/>
    </xf>
    <xf numFmtId="0" fontId="67" fillId="5" borderId="10" xfId="0" applyFont="1" applyFill="1" applyBorder="1" applyAlignment="1">
      <alignment vertical="center"/>
    </xf>
    <xf numFmtId="0" fontId="68" fillId="6" borderId="0" xfId="0" applyFont="1" applyFill="1" applyBorder="1"/>
    <xf numFmtId="0" fontId="69" fillId="6" borderId="0" xfId="0" applyFont="1" applyFill="1" applyBorder="1"/>
    <xf numFmtId="0" fontId="49" fillId="6" borderId="0" xfId="0" applyFont="1" applyFill="1" applyBorder="1"/>
    <xf numFmtId="224" fontId="50" fillId="5" borderId="0" xfId="0" applyNumberFormat="1" applyFont="1" applyFill="1" applyBorder="1"/>
    <xf numFmtId="182" fontId="50" fillId="5" borderId="0" xfId="0" applyNumberFormat="1" applyFont="1" applyFill="1" applyBorder="1"/>
    <xf numFmtId="0" fontId="49" fillId="5" borderId="8" xfId="0" applyFont="1" applyFill="1" applyBorder="1"/>
    <xf numFmtId="0" fontId="49" fillId="5" borderId="9" xfId="0" applyFont="1" applyFill="1" applyBorder="1"/>
    <xf numFmtId="0" fontId="49" fillId="5" borderId="10" xfId="0" applyFont="1" applyFill="1" applyBorder="1"/>
    <xf numFmtId="0" fontId="49" fillId="5" borderId="0" xfId="0" applyFont="1" applyFill="1" applyAlignment="1">
      <alignment horizontal="left"/>
    </xf>
    <xf numFmtId="0" fontId="49" fillId="5" borderId="96" xfId="0" applyFont="1" applyFill="1" applyBorder="1" applyAlignment="1">
      <alignment horizontal="left"/>
    </xf>
    <xf numFmtId="0" fontId="49" fillId="5" borderId="97" xfId="0" applyFont="1" applyFill="1" applyBorder="1" applyAlignment="1">
      <alignment horizontal="left"/>
    </xf>
    <xf numFmtId="0" fontId="49" fillId="5" borderId="97" xfId="0" applyFont="1" applyFill="1" applyBorder="1" applyAlignment="1">
      <alignment horizontal="center"/>
    </xf>
    <xf numFmtId="0" fontId="49" fillId="5" borderId="98" xfId="0" applyFont="1" applyFill="1" applyBorder="1" applyAlignment="1">
      <alignment horizontal="left"/>
    </xf>
    <xf numFmtId="0" fontId="49" fillId="5" borderId="97" xfId="0" applyFont="1" applyFill="1" applyBorder="1" applyAlignment="1">
      <alignment horizontal="centerContinuous"/>
    </xf>
    <xf numFmtId="0" fontId="49" fillId="5" borderId="97" xfId="0" applyFont="1" applyFill="1" applyBorder="1"/>
    <xf numFmtId="0" fontId="49" fillId="5" borderId="98" xfId="0" applyFont="1" applyFill="1" applyBorder="1"/>
    <xf numFmtId="0" fontId="49" fillId="5" borderId="98" xfId="0" applyFont="1" applyFill="1" applyBorder="1" applyAlignment="1">
      <alignment horizontal="centerContinuous"/>
    </xf>
    <xf numFmtId="0" fontId="49" fillId="5" borderId="99" xfId="0" applyFont="1" applyFill="1" applyBorder="1"/>
    <xf numFmtId="0" fontId="49" fillId="5" borderId="100" xfId="0" applyFont="1" applyFill="1" applyBorder="1" applyAlignment="1">
      <alignment horizontal="left"/>
    </xf>
    <xf numFmtId="0" fontId="49" fillId="5" borderId="75" xfId="0" applyFont="1" applyFill="1" applyBorder="1" applyAlignment="1">
      <alignment horizontal="left"/>
    </xf>
    <xf numFmtId="14" fontId="49" fillId="5" borderId="75" xfId="0" quotePrefix="1" applyNumberFormat="1" applyFont="1" applyFill="1" applyBorder="1" applyAlignment="1">
      <alignment horizontal="center"/>
    </xf>
    <xf numFmtId="0" fontId="49" fillId="5" borderId="76" xfId="0" applyFont="1" applyFill="1" applyBorder="1" applyAlignment="1">
      <alignment horizontal="left"/>
    </xf>
    <xf numFmtId="0" fontId="49" fillId="5" borderId="75" xfId="0" applyFont="1" applyFill="1" applyBorder="1" applyAlignment="1">
      <alignment horizontal="centerContinuous"/>
    </xf>
    <xf numFmtId="0" fontId="49" fillId="5" borderId="75" xfId="0" applyFont="1" applyFill="1" applyBorder="1"/>
    <xf numFmtId="0" fontId="49" fillId="5" borderId="76" xfId="0" applyFont="1" applyFill="1" applyBorder="1"/>
    <xf numFmtId="0" fontId="49" fillId="5" borderId="76" xfId="0" applyFont="1" applyFill="1" applyBorder="1" applyAlignment="1">
      <alignment horizontal="centerContinuous"/>
    </xf>
    <xf numFmtId="16" fontId="49" fillId="5" borderId="75" xfId="0" quotePrefix="1" applyNumberFormat="1" applyFont="1" applyFill="1" applyBorder="1" applyAlignment="1">
      <alignment horizontal="right"/>
    </xf>
    <xf numFmtId="0" fontId="49" fillId="5" borderId="101" xfId="0" applyFont="1" applyFill="1" applyBorder="1"/>
    <xf numFmtId="0" fontId="49" fillId="5" borderId="95" xfId="0" applyFont="1" applyFill="1" applyBorder="1"/>
    <xf numFmtId="0" fontId="49" fillId="5" borderId="102" xfId="0" applyFont="1" applyFill="1" applyBorder="1"/>
    <xf numFmtId="226" fontId="50" fillId="5" borderId="0" xfId="0" applyNumberFormat="1" applyFont="1" applyFill="1" applyBorder="1"/>
    <xf numFmtId="0" fontId="70" fillId="5" borderId="0" xfId="0" applyFont="1" applyFill="1" applyBorder="1"/>
    <xf numFmtId="0" fontId="49" fillId="5" borderId="0" xfId="0" applyFont="1" applyFill="1" applyBorder="1" applyAlignment="1">
      <alignment horizontal="left"/>
    </xf>
    <xf numFmtId="182" fontId="71" fillId="5" borderId="0" xfId="0" applyNumberFormat="1" applyFont="1" applyFill="1" applyBorder="1"/>
    <xf numFmtId="0" fontId="72" fillId="5" borderId="0" xfId="0" applyFont="1" applyFill="1" applyBorder="1" applyAlignment="1">
      <alignment horizontal="left"/>
    </xf>
    <xf numFmtId="222" fontId="51" fillId="5" borderId="0" xfId="0" applyNumberFormat="1" applyFont="1" applyFill="1" applyBorder="1"/>
    <xf numFmtId="173" fontId="51" fillId="5" borderId="0" xfId="0" applyNumberFormat="1" applyFont="1" applyFill="1" applyBorder="1" applyAlignment="1">
      <alignment horizontal="right"/>
    </xf>
    <xf numFmtId="224" fontId="51" fillId="5" borderId="0" xfId="0" applyNumberFormat="1" applyFont="1" applyFill="1" applyBorder="1"/>
    <xf numFmtId="182" fontId="51" fillId="5" borderId="0" xfId="0" applyNumberFormat="1" applyFont="1" applyFill="1" applyBorder="1"/>
    <xf numFmtId="223" fontId="51" fillId="5" borderId="0" xfId="0" applyNumberFormat="1" applyFont="1" applyFill="1" applyBorder="1"/>
    <xf numFmtId="177" fontId="51" fillId="5" borderId="0" xfId="0" applyNumberFormat="1" applyFont="1" applyFill="1" applyBorder="1"/>
    <xf numFmtId="227" fontId="51" fillId="5" borderId="0" xfId="0" applyNumberFormat="1" applyFont="1" applyFill="1" applyBorder="1"/>
    <xf numFmtId="228" fontId="50" fillId="5" borderId="0" xfId="0" applyNumberFormat="1" applyFont="1" applyFill="1" applyBorder="1" applyAlignment="1">
      <alignment horizontal="center"/>
    </xf>
    <xf numFmtId="193" fontId="50" fillId="5" borderId="0" xfId="0" applyNumberFormat="1" applyFont="1" applyFill="1" applyBorder="1" applyAlignment="1">
      <alignment horizontal="center"/>
    </xf>
    <xf numFmtId="229" fontId="50" fillId="5" borderId="0" xfId="0" applyNumberFormat="1" applyFont="1" applyFill="1" applyBorder="1"/>
    <xf numFmtId="228" fontId="51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9" xfId="0" applyFont="1" applyFill="1" applyBorder="1"/>
    <xf numFmtId="0" fontId="70" fillId="5" borderId="9" xfId="0" applyFont="1" applyFill="1" applyBorder="1"/>
    <xf numFmtId="228" fontId="18" fillId="5" borderId="0" xfId="0" applyNumberFormat="1" applyFont="1" applyFill="1" applyBorder="1" applyAlignment="1">
      <alignment horizontal="center"/>
    </xf>
    <xf numFmtId="230" fontId="49" fillId="5" borderId="0" xfId="0" applyNumberFormat="1" applyFont="1" applyFill="1" applyBorder="1" applyAlignment="1">
      <alignment horizontal="center"/>
    </xf>
    <xf numFmtId="0" fontId="73" fillId="5" borderId="0" xfId="0" applyFont="1" applyFill="1" applyBorder="1"/>
    <xf numFmtId="0" fontId="73" fillId="5" borderId="0" xfId="0" applyFont="1" applyFill="1" applyBorder="1" applyAlignment="1">
      <alignment horizontal="center"/>
    </xf>
    <xf numFmtId="0" fontId="74" fillId="5" borderId="0" xfId="0" applyFont="1" applyFill="1" applyBorder="1"/>
    <xf numFmtId="0" fontId="74" fillId="6" borderId="0" xfId="0" applyFont="1" applyFill="1" applyBorder="1"/>
    <xf numFmtId="0" fontId="73" fillId="5" borderId="0" xfId="0" applyFont="1" applyFill="1"/>
    <xf numFmtId="231" fontId="13" fillId="5" borderId="0" xfId="0" applyNumberFormat="1" applyFont="1" applyFill="1" applyBorder="1"/>
    <xf numFmtId="232" fontId="13" fillId="5" borderId="0" xfId="0" applyNumberFormat="1" applyFont="1" applyFill="1" applyBorder="1"/>
    <xf numFmtId="233" fontId="13" fillId="5" borderId="0" xfId="0" applyNumberFormat="1" applyFont="1" applyFill="1" applyBorder="1"/>
    <xf numFmtId="234" fontId="13" fillId="5" borderId="0" xfId="0" applyNumberFormat="1" applyFont="1" applyFill="1" applyBorder="1"/>
    <xf numFmtId="2" fontId="64" fillId="0" borderId="0" xfId="0" quotePrefix="1" applyNumberFormat="1" applyFont="1" applyBorder="1" applyAlignment="1" applyProtection="1">
      <alignment horizontal="center" vertical="center"/>
      <protection locked="0"/>
    </xf>
    <xf numFmtId="9" fontId="0" fillId="5" borderId="0" xfId="0" applyNumberFormat="1" applyFill="1" applyAlignment="1">
      <alignment horizontal="center"/>
    </xf>
    <xf numFmtId="213" fontId="0" fillId="5" borderId="0" xfId="0" applyNumberFormat="1" applyFill="1" applyAlignment="1">
      <alignment horizontal="center"/>
    </xf>
    <xf numFmtId="235" fontId="0" fillId="5" borderId="0" xfId="0" applyNumberFormat="1" applyFill="1" applyAlignment="1">
      <alignment horizontal="center"/>
    </xf>
    <xf numFmtId="236" fontId="0" fillId="5" borderId="0" xfId="0" applyNumberFormat="1" applyFill="1" applyAlignment="1">
      <alignment horizontal="center"/>
    </xf>
    <xf numFmtId="237" fontId="0" fillId="5" borderId="0" xfId="0" applyNumberFormat="1" applyFill="1" applyAlignment="1">
      <alignment horizontal="center"/>
    </xf>
    <xf numFmtId="237" fontId="13" fillId="5" borderId="0" xfId="0" applyNumberFormat="1" applyFont="1" applyFill="1" applyAlignment="1">
      <alignment horizontal="center"/>
    </xf>
    <xf numFmtId="238" fontId="49" fillId="5" borderId="0" xfId="0" applyNumberFormat="1" applyFont="1" applyFill="1" applyAlignment="1">
      <alignment horizontal="center"/>
    </xf>
    <xf numFmtId="239" fontId="49" fillId="5" borderId="0" xfId="0" applyNumberFormat="1" applyFont="1" applyFill="1" applyAlignment="1">
      <alignment horizontal="center"/>
    </xf>
    <xf numFmtId="235" fontId="49" fillId="5" borderId="0" xfId="0" applyNumberFormat="1" applyFont="1" applyFill="1" applyAlignment="1">
      <alignment horizontal="center"/>
    </xf>
    <xf numFmtId="236" fontId="49" fillId="5" borderId="0" xfId="0" applyNumberFormat="1" applyFont="1" applyFill="1" applyAlignment="1">
      <alignment horizontal="center"/>
    </xf>
    <xf numFmtId="237" fontId="49" fillId="5" borderId="0" xfId="0" applyNumberFormat="1" applyFont="1" applyFill="1" applyAlignment="1">
      <alignment horizontal="center"/>
    </xf>
    <xf numFmtId="9" fontId="49" fillId="5" borderId="0" xfId="0" applyNumberFormat="1" applyFont="1" applyFill="1" applyAlignment="1">
      <alignment horizontal="center"/>
    </xf>
    <xf numFmtId="213" fontId="49" fillId="5" borderId="0" xfId="0" applyNumberFormat="1" applyFont="1" applyFill="1" applyAlignment="1">
      <alignment horizontal="center"/>
    </xf>
    <xf numFmtId="237" fontId="50" fillId="5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235" fontId="18" fillId="5" borderId="0" xfId="0" applyNumberFormat="1" applyFont="1" applyFill="1" applyAlignment="1">
      <alignment horizontal="center"/>
    </xf>
    <xf numFmtId="0" fontId="18" fillId="5" borderId="0" xfId="0" applyFont="1" applyFill="1" applyBorder="1" applyAlignment="1">
      <alignment horizontal="right"/>
    </xf>
    <xf numFmtId="2" fontId="49" fillId="5" borderId="0" xfId="0" applyNumberFormat="1" applyFont="1" applyFill="1" applyAlignment="1">
      <alignment horizontal="center"/>
    </xf>
    <xf numFmtId="232" fontId="49" fillId="5" borderId="0" xfId="0" applyNumberFormat="1" applyFont="1" applyFill="1" applyAlignment="1">
      <alignment horizontal="center"/>
    </xf>
    <xf numFmtId="240" fontId="49" fillId="5" borderId="0" xfId="0" applyNumberFormat="1" applyFont="1" applyFill="1" applyAlignment="1">
      <alignment horizontal="center"/>
    </xf>
    <xf numFmtId="241" fontId="49" fillId="5" borderId="0" xfId="0" applyNumberFormat="1" applyFont="1" applyFill="1" applyAlignment="1">
      <alignment horizontal="center"/>
    </xf>
    <xf numFmtId="242" fontId="49" fillId="5" borderId="0" xfId="0" applyNumberFormat="1" applyFont="1" applyFill="1" applyAlignment="1">
      <alignment horizontal="center"/>
    </xf>
    <xf numFmtId="243" fontId="49" fillId="5" borderId="0" xfId="0" applyNumberFormat="1" applyFont="1" applyFill="1" applyAlignment="1">
      <alignment horizontal="center"/>
    </xf>
    <xf numFmtId="0" fontId="51" fillId="5" borderId="31" xfId="3" applyFont="1" applyFill="1" applyBorder="1"/>
    <xf numFmtId="0" fontId="0" fillId="5" borderId="12" xfId="0" applyFill="1" applyBorder="1"/>
    <xf numFmtId="0" fontId="51" fillId="5" borderId="12" xfId="3" applyFont="1" applyFill="1" applyBorder="1"/>
    <xf numFmtId="0" fontId="18" fillId="5" borderId="31" xfId="3" applyFont="1" applyFill="1" applyBorder="1" applyAlignment="1">
      <alignment horizontal="center"/>
    </xf>
    <xf numFmtId="0" fontId="51" fillId="5" borderId="21" xfId="3" applyFont="1" applyFill="1" applyBorder="1"/>
    <xf numFmtId="0" fontId="51" fillId="5" borderId="0" xfId="3" applyFont="1" applyFill="1" applyBorder="1"/>
    <xf numFmtId="244" fontId="51" fillId="5" borderId="21" xfId="3" applyNumberFormat="1" applyFont="1" applyFill="1" applyBorder="1"/>
    <xf numFmtId="0" fontId="51" fillId="5" borderId="0" xfId="3" applyFont="1" applyFill="1" applyBorder="1" applyAlignment="1">
      <alignment horizontal="center"/>
    </xf>
    <xf numFmtId="245" fontId="51" fillId="5" borderId="21" xfId="3" applyNumberFormat="1" applyFont="1" applyFill="1" applyBorder="1"/>
    <xf numFmtId="247" fontId="52" fillId="5" borderId="21" xfId="3" applyNumberFormat="1" applyFont="1" applyFill="1" applyBorder="1"/>
    <xf numFmtId="248" fontId="52" fillId="5" borderId="21" xfId="3" applyNumberFormat="1" applyFont="1" applyFill="1" applyBorder="1"/>
    <xf numFmtId="0" fontId="51" fillId="5" borderId="21" xfId="3" applyFont="1" applyFill="1" applyBorder="1" applyAlignment="1" applyProtection="1">
      <alignment horizontal="left"/>
    </xf>
    <xf numFmtId="0" fontId="51" fillId="5" borderId="0" xfId="3" applyFont="1" applyFill="1" applyBorder="1" applyAlignment="1" applyProtection="1">
      <alignment horizontal="center"/>
    </xf>
    <xf numFmtId="2" fontId="51" fillId="5" borderId="21" xfId="3" applyNumberFormat="1" applyFont="1" applyFill="1" applyBorder="1"/>
    <xf numFmtId="1" fontId="51" fillId="5" borderId="21" xfId="3" applyNumberFormat="1" applyFont="1" applyFill="1" applyBorder="1"/>
    <xf numFmtId="250" fontId="53" fillId="5" borderId="21" xfId="3" applyNumberFormat="1" applyFont="1" applyFill="1" applyBorder="1"/>
    <xf numFmtId="252" fontId="53" fillId="5" borderId="21" xfId="3" applyNumberFormat="1" applyFont="1" applyFill="1" applyBorder="1"/>
    <xf numFmtId="254" fontId="53" fillId="5" borderId="21" xfId="3" applyNumberFormat="1" applyFont="1" applyFill="1" applyBorder="1"/>
    <xf numFmtId="254" fontId="52" fillId="5" borderId="21" xfId="3" applyNumberFormat="1" applyFont="1" applyFill="1" applyBorder="1"/>
    <xf numFmtId="165" fontId="51" fillId="5" borderId="21" xfId="3" applyNumberFormat="1" applyFont="1" applyFill="1" applyBorder="1"/>
    <xf numFmtId="0" fontId="18" fillId="5" borderId="21" xfId="3" quotePrefix="1" applyFont="1" applyFill="1" applyBorder="1" applyAlignment="1">
      <alignment horizontal="left"/>
    </xf>
    <xf numFmtId="0" fontId="18" fillId="5" borderId="0" xfId="3" applyFont="1" applyFill="1" applyBorder="1" applyAlignment="1">
      <alignment horizontal="center"/>
    </xf>
    <xf numFmtId="256" fontId="54" fillId="5" borderId="21" xfId="3" applyNumberFormat="1" applyFont="1" applyFill="1" applyBorder="1"/>
    <xf numFmtId="0" fontId="18" fillId="5" borderId="15" xfId="3" applyFont="1" applyFill="1" applyBorder="1" applyAlignment="1">
      <alignment horizontal="left"/>
    </xf>
    <xf numFmtId="0" fontId="18" fillId="5" borderId="16" xfId="3" applyFont="1" applyFill="1" applyBorder="1" applyAlignment="1">
      <alignment horizontal="center"/>
    </xf>
    <xf numFmtId="258" fontId="54" fillId="5" borderId="15" xfId="3" applyNumberFormat="1" applyFont="1" applyFill="1" applyBorder="1"/>
    <xf numFmtId="0" fontId="18" fillId="5" borderId="32" xfId="3" applyFont="1" applyFill="1" applyBorder="1" applyAlignment="1">
      <alignment horizontal="center"/>
    </xf>
    <xf numFmtId="0" fontId="51" fillId="5" borderId="22" xfId="3" applyFont="1" applyFill="1" applyBorder="1" applyAlignment="1">
      <alignment horizontal="centerContinuous"/>
    </xf>
    <xf numFmtId="246" fontId="51" fillId="5" borderId="22" xfId="3" applyNumberFormat="1" applyFont="1" applyFill="1" applyBorder="1"/>
    <xf numFmtId="249" fontId="51" fillId="5" borderId="22" xfId="3" applyNumberFormat="1" applyFont="1" applyFill="1" applyBorder="1"/>
    <xf numFmtId="0" fontId="51" fillId="5" borderId="22" xfId="3" applyFont="1" applyFill="1" applyBorder="1"/>
    <xf numFmtId="251" fontId="51" fillId="5" borderId="22" xfId="3" applyNumberFormat="1" applyFont="1" applyFill="1" applyBorder="1"/>
    <xf numFmtId="253" fontId="51" fillId="5" borderId="22" xfId="3" applyNumberFormat="1" applyFont="1" applyFill="1" applyBorder="1"/>
    <xf numFmtId="255" fontId="51" fillId="5" borderId="22" xfId="3" applyNumberFormat="1" applyFont="1" applyFill="1" applyBorder="1"/>
    <xf numFmtId="2" fontId="51" fillId="5" borderId="22" xfId="3" applyNumberFormat="1" applyFont="1" applyFill="1" applyBorder="1"/>
    <xf numFmtId="257" fontId="54" fillId="5" borderId="22" xfId="3" applyNumberFormat="1" applyFont="1" applyFill="1" applyBorder="1"/>
    <xf numFmtId="259" fontId="54" fillId="5" borderId="17" xfId="3" applyNumberFormat="1" applyFont="1" applyFill="1" applyBorder="1"/>
    <xf numFmtId="0" fontId="0" fillId="5" borderId="31" xfId="0" applyFill="1" applyBorder="1"/>
    <xf numFmtId="0" fontId="0" fillId="5" borderId="32" xfId="0" applyFill="1" applyBorder="1"/>
    <xf numFmtId="232" fontId="0" fillId="5" borderId="0" xfId="0" applyNumberFormat="1" applyFill="1" applyBorder="1" applyAlignment="1">
      <alignment horizontal="center"/>
    </xf>
    <xf numFmtId="260" fontId="0" fillId="5" borderId="0" xfId="0" applyNumberFormat="1" applyFill="1" applyBorder="1" applyAlignment="1">
      <alignment horizontal="center"/>
    </xf>
    <xf numFmtId="0" fontId="33" fillId="5" borderId="0" xfId="0" applyFont="1" applyFill="1" applyBorder="1"/>
    <xf numFmtId="0" fontId="6" fillId="5" borderId="0" xfId="0" applyFont="1" applyFill="1" applyBorder="1" applyAlignment="1">
      <alignment horizontal="center"/>
    </xf>
    <xf numFmtId="260" fontId="6" fillId="5" borderId="0" xfId="0" applyNumberFormat="1" applyFont="1" applyFill="1" applyBorder="1" applyAlignment="1">
      <alignment horizontal="center"/>
    </xf>
    <xf numFmtId="0" fontId="6" fillId="5" borderId="22" xfId="0" applyFont="1" applyFill="1" applyBorder="1"/>
    <xf numFmtId="0" fontId="0" fillId="5" borderId="0" xfId="0" quotePrefix="1" applyFill="1" applyBorder="1" applyAlignment="1">
      <alignment horizontal="center"/>
    </xf>
    <xf numFmtId="0" fontId="13" fillId="5" borderId="0" xfId="0" applyFont="1" applyFill="1" applyBorder="1" applyAlignment="1">
      <alignment horizontal="centerContinuous"/>
    </xf>
    <xf numFmtId="261" fontId="0" fillId="5" borderId="0" xfId="0" applyNumberFormat="1" applyFill="1" applyBorder="1" applyAlignment="1">
      <alignment horizontal="center"/>
    </xf>
    <xf numFmtId="262" fontId="0" fillId="5" borderId="0" xfId="0" applyNumberFormat="1" applyFill="1" applyBorder="1" applyAlignment="1">
      <alignment horizontal="center"/>
    </xf>
    <xf numFmtId="232" fontId="0" fillId="5" borderId="22" xfId="0" applyNumberFormat="1" applyFill="1" applyBorder="1"/>
    <xf numFmtId="0" fontId="0" fillId="5" borderId="15" xfId="0" applyFill="1" applyBorder="1"/>
    <xf numFmtId="232" fontId="0" fillId="5" borderId="16" xfId="0" applyNumberFormat="1" applyFill="1" applyBorder="1"/>
    <xf numFmtId="232" fontId="0" fillId="5" borderId="17" xfId="0" applyNumberFormat="1" applyFill="1" applyBorder="1"/>
    <xf numFmtId="232" fontId="0" fillId="5" borderId="0" xfId="0" applyNumberFormat="1" applyFill="1"/>
    <xf numFmtId="0" fontId="6" fillId="5" borderId="0" xfId="0" applyFont="1" applyFill="1" applyBorder="1"/>
    <xf numFmtId="232" fontId="6" fillId="5" borderId="0" xfId="0" applyNumberFormat="1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center"/>
    </xf>
    <xf numFmtId="262" fontId="6" fillId="5" borderId="0" xfId="0" applyNumberFormat="1" applyFont="1" applyFill="1" applyBorder="1" applyAlignment="1">
      <alignment horizontal="center"/>
    </xf>
    <xf numFmtId="263" fontId="0" fillId="5" borderId="0" xfId="0" applyNumberFormat="1" applyFill="1" applyAlignment="1">
      <alignment horizontal="center"/>
    </xf>
    <xf numFmtId="264" fontId="0" fillId="5" borderId="0" xfId="0" applyNumberFormat="1" applyFill="1" applyAlignment="1">
      <alignment horizontal="center"/>
    </xf>
    <xf numFmtId="265" fontId="0" fillId="5" borderId="0" xfId="0" applyNumberFormat="1" applyFill="1" applyAlignment="1">
      <alignment horizontal="center"/>
    </xf>
    <xf numFmtId="266" fontId="0" fillId="5" borderId="0" xfId="0" applyNumberFormat="1" applyFill="1" applyAlignment="1">
      <alignment horizontal="center"/>
    </xf>
    <xf numFmtId="267" fontId="0" fillId="5" borderId="0" xfId="0" applyNumberFormat="1" applyFill="1" applyAlignment="1">
      <alignment horizontal="center"/>
    </xf>
    <xf numFmtId="221" fontId="0" fillId="5" borderId="0" xfId="0" applyNumberFormat="1" applyFill="1" applyAlignment="1">
      <alignment horizontal="center"/>
    </xf>
    <xf numFmtId="0" fontId="14" fillId="0" borderId="4" xfId="0" applyNumberFormat="1" applyFont="1" applyBorder="1" applyAlignment="1">
      <alignment horizontal="center"/>
    </xf>
    <xf numFmtId="268" fontId="11" fillId="5" borderId="0" xfId="0" applyNumberFormat="1" applyFont="1" applyFill="1" applyAlignment="1">
      <alignment horizontal="center" vertical="center"/>
    </xf>
    <xf numFmtId="269" fontId="11" fillId="5" borderId="0" xfId="0" applyNumberFormat="1" applyFont="1" applyFill="1" applyAlignment="1">
      <alignment horizontal="center" vertical="center"/>
    </xf>
    <xf numFmtId="270" fontId="0" fillId="5" borderId="0" xfId="0" applyNumberFormat="1" applyFill="1" applyAlignment="1">
      <alignment horizontal="center" vertical="center"/>
    </xf>
    <xf numFmtId="265" fontId="0" fillId="5" borderId="0" xfId="0" applyNumberFormat="1" applyFill="1" applyAlignment="1">
      <alignment horizontal="center" vertical="center"/>
    </xf>
    <xf numFmtId="271" fontId="0" fillId="5" borderId="0" xfId="0" applyNumberFormat="1" applyFill="1" applyAlignment="1">
      <alignment horizontal="center"/>
    </xf>
    <xf numFmtId="272" fontId="0" fillId="5" borderId="0" xfId="0" applyNumberFormat="1" applyFill="1" applyAlignment="1">
      <alignment horizontal="center"/>
    </xf>
    <xf numFmtId="0" fontId="0" fillId="8" borderId="0" xfId="0" applyFill="1" applyAlignment="1">
      <alignment horizontal="right"/>
    </xf>
    <xf numFmtId="266" fontId="0" fillId="8" borderId="0" xfId="0" applyNumberFormat="1" applyFill="1" applyAlignment="1">
      <alignment horizontal="center"/>
    </xf>
    <xf numFmtId="10" fontId="11" fillId="5" borderId="0" xfId="0" applyNumberFormat="1" applyFont="1" applyFill="1" applyAlignment="1">
      <alignment horizontal="center"/>
    </xf>
    <xf numFmtId="273" fontId="0" fillId="5" borderId="0" xfId="0" applyNumberFormat="1" applyFill="1" applyAlignment="1">
      <alignment horizontal="center"/>
    </xf>
    <xf numFmtId="10" fontId="9" fillId="5" borderId="0" xfId="0" applyNumberFormat="1" applyFont="1" applyFill="1" applyAlignment="1">
      <alignment horizontal="center"/>
    </xf>
    <xf numFmtId="4" fontId="38" fillId="5" borderId="0" xfId="0" applyNumberFormat="1" applyFont="1" applyFill="1" applyAlignment="1">
      <alignment horizontal="center"/>
    </xf>
    <xf numFmtId="274" fontId="0" fillId="5" borderId="0" xfId="0" applyNumberFormat="1" applyFill="1" applyAlignment="1">
      <alignment horizontal="center"/>
    </xf>
    <xf numFmtId="275" fontId="0" fillId="5" borderId="0" xfId="0" applyNumberFormat="1" applyFill="1" applyAlignment="1">
      <alignment horizontal="center"/>
    </xf>
    <xf numFmtId="0" fontId="24" fillId="5" borderId="0" xfId="0" applyFont="1" applyFill="1" applyBorder="1"/>
    <xf numFmtId="0" fontId="0" fillId="5" borderId="0" xfId="0" applyFill="1" applyBorder="1" applyAlignment="1">
      <alignment horizontal="right"/>
    </xf>
    <xf numFmtId="9" fontId="0" fillId="5" borderId="0" xfId="0" applyNumberFormat="1" applyFill="1" applyBorder="1"/>
    <xf numFmtId="10" fontId="0" fillId="5" borderId="0" xfId="0" applyNumberFormat="1" applyFill="1" applyBorder="1" applyAlignment="1">
      <alignment horizontal="center"/>
    </xf>
    <xf numFmtId="10" fontId="38" fillId="5" borderId="0" xfId="0" applyNumberFormat="1" applyFont="1" applyFill="1" applyAlignment="1">
      <alignment horizontal="center"/>
    </xf>
    <xf numFmtId="263" fontId="11" fillId="5" borderId="0" xfId="0" applyNumberFormat="1" applyFont="1" applyFill="1" applyAlignment="1">
      <alignment horizontal="center"/>
    </xf>
    <xf numFmtId="276" fontId="11" fillId="5" borderId="0" xfId="0" applyNumberFormat="1" applyFont="1" applyFill="1" applyAlignment="1">
      <alignment horizontal="center" vertical="center"/>
    </xf>
    <xf numFmtId="277" fontId="0" fillId="5" borderId="0" xfId="0" applyNumberFormat="1" applyFill="1" applyAlignment="1">
      <alignment horizontal="center"/>
    </xf>
    <xf numFmtId="0" fontId="78" fillId="5" borderId="9" xfId="0" applyFont="1" applyFill="1" applyBorder="1"/>
    <xf numFmtId="0" fontId="79" fillId="5" borderId="9" xfId="0" applyFont="1" applyFill="1" applyBorder="1"/>
    <xf numFmtId="0" fontId="79" fillId="5" borderId="9" xfId="0" applyFont="1" applyFill="1" applyBorder="1" applyAlignment="1">
      <alignment horizontal="center"/>
    </xf>
    <xf numFmtId="278" fontId="0" fillId="5" borderId="0" xfId="0" applyNumberFormat="1" applyFill="1"/>
    <xf numFmtId="0" fontId="78" fillId="5" borderId="0" xfId="0" applyFont="1" applyFill="1" applyBorder="1"/>
    <xf numFmtId="0" fontId="79" fillId="5" borderId="0" xfId="0" applyFont="1" applyFill="1" applyBorder="1"/>
    <xf numFmtId="0" fontId="79" fillId="5" borderId="0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232" fontId="0" fillId="5" borderId="0" xfId="0" applyNumberFormat="1" applyFill="1" applyAlignment="1">
      <alignment horizontal="center"/>
    </xf>
    <xf numFmtId="231" fontId="0" fillId="5" borderId="0" xfId="0" applyNumberFormat="1" applyFill="1" applyAlignment="1">
      <alignment horizontal="center"/>
    </xf>
    <xf numFmtId="279" fontId="0" fillId="5" borderId="0" xfId="0" applyNumberFormat="1" applyFill="1" applyAlignment="1">
      <alignment horizontal="center"/>
    </xf>
    <xf numFmtId="280" fontId="0" fillId="5" borderId="0" xfId="0" applyNumberFormat="1" applyFill="1" applyAlignment="1">
      <alignment horizontal="center"/>
    </xf>
    <xf numFmtId="224" fontId="50" fillId="5" borderId="0" xfId="0" applyNumberFormat="1" applyFont="1" applyFill="1" applyBorder="1" applyAlignment="1">
      <alignment horizontal="center"/>
    </xf>
    <xf numFmtId="182" fontId="50" fillId="5" borderId="0" xfId="0" applyNumberFormat="1" applyFont="1" applyFill="1" applyBorder="1" applyAlignment="1">
      <alignment horizontal="center"/>
    </xf>
    <xf numFmtId="183" fontId="51" fillId="5" borderId="0" xfId="0" applyNumberFormat="1" applyFont="1" applyFill="1" applyBorder="1" applyAlignment="1">
      <alignment horizontal="center"/>
    </xf>
    <xf numFmtId="227" fontId="51" fillId="5" borderId="0" xfId="0" applyNumberFormat="1" applyFont="1" applyFill="1" applyBorder="1" applyAlignment="1">
      <alignment horizontal="center"/>
    </xf>
    <xf numFmtId="281" fontId="49" fillId="8" borderId="0" xfId="0" applyNumberFormat="1" applyFont="1" applyFill="1" applyBorder="1"/>
    <xf numFmtId="231" fontId="0" fillId="8" borderId="0" xfId="0" applyNumberFormat="1" applyFill="1" applyAlignment="1">
      <alignment horizontal="center"/>
    </xf>
    <xf numFmtId="282" fontId="49" fillId="8" borderId="0" xfId="0" applyNumberFormat="1" applyFont="1" applyFill="1" applyBorder="1"/>
    <xf numFmtId="283" fontId="51" fillId="5" borderId="0" xfId="0" applyNumberFormat="1" applyFont="1" applyFill="1" applyBorder="1" applyAlignment="1">
      <alignment horizontal="center"/>
    </xf>
    <xf numFmtId="284" fontId="51" fillId="5" borderId="0" xfId="0" applyNumberFormat="1" applyFont="1" applyFill="1" applyBorder="1" applyAlignment="1">
      <alignment horizontal="center"/>
    </xf>
    <xf numFmtId="276" fontId="49" fillId="5" borderId="0" xfId="0" applyNumberFormat="1" applyFont="1" applyFill="1" applyBorder="1"/>
    <xf numFmtId="285" fontId="49" fillId="5" borderId="0" xfId="0" applyNumberFormat="1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2" fontId="22" fillId="6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80" fillId="5" borderId="4" xfId="0" applyFont="1" applyFill="1" applyBorder="1"/>
    <xf numFmtId="0" fontId="80" fillId="5" borderId="4" xfId="0" applyFont="1" applyFill="1" applyBorder="1" applyAlignment="1">
      <alignment horizontal="center"/>
    </xf>
    <xf numFmtId="286" fontId="80" fillId="5" borderId="4" xfId="0" applyNumberFormat="1" applyFont="1" applyFill="1" applyBorder="1" applyAlignment="1">
      <alignment horizontal="center"/>
    </xf>
    <xf numFmtId="0" fontId="80" fillId="5" borderId="0" xfId="0" applyFont="1" applyFill="1" applyBorder="1"/>
    <xf numFmtId="0" fontId="3" fillId="5" borderId="0" xfId="0" applyFont="1" applyFill="1" applyBorder="1" applyAlignment="1">
      <alignment horizontal="right"/>
    </xf>
    <xf numFmtId="286" fontId="3" fillId="5" borderId="0" xfId="0" applyNumberFormat="1" applyFont="1" applyFill="1" applyBorder="1"/>
    <xf numFmtId="0" fontId="80" fillId="5" borderId="0" xfId="0" applyFont="1" applyFill="1"/>
    <xf numFmtId="287" fontId="0" fillId="5" borderId="0" xfId="0" applyNumberFormat="1" applyFill="1" applyAlignment="1">
      <alignment horizontal="center"/>
    </xf>
    <xf numFmtId="235" fontId="0" fillId="5" borderId="0" xfId="0" applyNumberFormat="1" applyFill="1"/>
    <xf numFmtId="166" fontId="0" fillId="5" borderId="0" xfId="0" applyNumberFormat="1" applyFill="1"/>
    <xf numFmtId="224" fontId="0" fillId="5" borderId="0" xfId="0" applyNumberFormat="1" applyFill="1"/>
    <xf numFmtId="227" fontId="0" fillId="5" borderId="0" xfId="0" applyNumberFormat="1" applyFill="1"/>
    <xf numFmtId="0" fontId="8" fillId="5" borderId="0" xfId="0" applyFont="1" applyFill="1" applyBorder="1"/>
    <xf numFmtId="0" fontId="17" fillId="5" borderId="0" xfId="0" applyFont="1" applyFill="1" applyBorder="1" applyAlignment="1">
      <alignment horizontal="center"/>
    </xf>
    <xf numFmtId="288" fontId="0" fillId="5" borderId="0" xfId="0" applyNumberFormat="1" applyFill="1" applyAlignment="1">
      <alignment horizontal="right"/>
    </xf>
    <xf numFmtId="0" fontId="8" fillId="8" borderId="0" xfId="0" applyFont="1" applyFill="1" applyBorder="1"/>
    <xf numFmtId="0" fontId="17" fillId="8" borderId="0" xfId="0" applyFont="1" applyFill="1" applyBorder="1" applyAlignment="1">
      <alignment horizontal="center"/>
    </xf>
    <xf numFmtId="288" fontId="0" fillId="8" borderId="0" xfId="0" applyNumberFormat="1" applyFill="1" applyAlignment="1">
      <alignment horizontal="right"/>
    </xf>
    <xf numFmtId="0" fontId="8" fillId="16" borderId="0" xfId="0" applyFont="1" applyFill="1" applyBorder="1"/>
    <xf numFmtId="0" fontId="17" fillId="16" borderId="0" xfId="0" applyFont="1" applyFill="1" applyBorder="1" applyAlignment="1">
      <alignment horizontal="center"/>
    </xf>
    <xf numFmtId="288" fontId="0" fillId="16" borderId="0" xfId="0" applyNumberFormat="1" applyFill="1" applyAlignment="1">
      <alignment horizontal="right"/>
    </xf>
    <xf numFmtId="0" fontId="8" fillId="17" borderId="0" xfId="0" applyFont="1" applyFill="1" applyBorder="1"/>
    <xf numFmtId="0" fontId="17" fillId="17" borderId="0" xfId="0" applyFont="1" applyFill="1" applyBorder="1" applyAlignment="1">
      <alignment horizontal="center"/>
    </xf>
    <xf numFmtId="288" fontId="0" fillId="17" borderId="0" xfId="0" applyNumberFormat="1" applyFill="1" applyAlignment="1">
      <alignment horizontal="right"/>
    </xf>
    <xf numFmtId="4" fontId="0" fillId="17" borderId="0" xfId="0" applyNumberFormat="1" applyFill="1" applyAlignment="1">
      <alignment horizontal="right"/>
    </xf>
    <xf numFmtId="4" fontId="0" fillId="16" borderId="0" xfId="0" applyNumberFormat="1" applyFill="1" applyAlignment="1">
      <alignment horizontal="right"/>
    </xf>
    <xf numFmtId="4" fontId="0" fillId="5" borderId="0" xfId="0" applyNumberFormat="1" applyFill="1" applyAlignment="1">
      <alignment horizontal="right"/>
    </xf>
    <xf numFmtId="4" fontId="0" fillId="8" borderId="0" xfId="0" applyNumberFormat="1" applyFill="1" applyAlignment="1">
      <alignment horizontal="right"/>
    </xf>
    <xf numFmtId="167" fontId="0" fillId="5" borderId="0" xfId="0" applyNumberFormat="1" applyFill="1" applyAlignment="1">
      <alignment horizontal="right"/>
    </xf>
    <xf numFmtId="167" fontId="0" fillId="5" borderId="0" xfId="0" applyNumberFormat="1" applyFill="1"/>
    <xf numFmtId="0" fontId="0" fillId="7" borderId="0" xfId="0" applyFill="1"/>
    <xf numFmtId="0" fontId="0" fillId="18" borderId="0" xfId="0" applyFill="1"/>
    <xf numFmtId="0" fontId="0" fillId="19" borderId="0" xfId="0" applyFill="1"/>
    <xf numFmtId="0" fontId="0" fillId="8" borderId="0" xfId="0" applyFill="1"/>
    <xf numFmtId="0" fontId="0" fillId="14" borderId="0" xfId="0" applyFill="1"/>
    <xf numFmtId="167" fontId="0" fillId="7" borderId="0" xfId="0" applyNumberFormat="1" applyFill="1"/>
    <xf numFmtId="167" fontId="0" fillId="16" borderId="0" xfId="0" applyNumberFormat="1" applyFill="1"/>
    <xf numFmtId="0" fontId="0" fillId="7" borderId="0" xfId="0" applyFill="1" applyAlignment="1">
      <alignment horizontal="right"/>
    </xf>
    <xf numFmtId="0" fontId="22" fillId="6" borderId="0" xfId="0" applyFont="1" applyFill="1" applyAlignment="1">
      <alignment horizontal="left"/>
    </xf>
    <xf numFmtId="269" fontId="0" fillId="5" borderId="0" xfId="0" applyNumberFormat="1" applyFill="1" applyAlignment="1">
      <alignment horizontal="center" vertical="center"/>
    </xf>
    <xf numFmtId="0" fontId="33" fillId="5" borderId="0" xfId="0" applyFont="1" applyFill="1" applyBorder="1" applyAlignment="1" applyProtection="1">
      <alignment horizontal="left" vertical="center"/>
    </xf>
    <xf numFmtId="0" fontId="33" fillId="5" borderId="0" xfId="0" applyFont="1" applyFill="1" applyBorder="1" applyAlignment="1" applyProtection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2" fontId="64" fillId="5" borderId="0" xfId="0" quotePrefix="1" applyNumberFormat="1" applyFont="1" applyFill="1" applyBorder="1" applyAlignment="1" applyProtection="1">
      <alignment horizontal="center" vertical="center"/>
      <protection locked="0"/>
    </xf>
    <xf numFmtId="289" fontId="0" fillId="5" borderId="0" xfId="0" applyNumberFormat="1" applyFill="1" applyAlignment="1">
      <alignment horizontal="center" vertical="center"/>
    </xf>
    <xf numFmtId="290" fontId="0" fillId="5" borderId="0" xfId="0" applyNumberFormat="1" applyFill="1" applyAlignment="1">
      <alignment horizontal="center" vertical="center"/>
    </xf>
    <xf numFmtId="291" fontId="0" fillId="5" borderId="0" xfId="0" applyNumberFormat="1" applyFill="1" applyAlignment="1">
      <alignment horizontal="center" vertical="center"/>
    </xf>
    <xf numFmtId="292" fontId="0" fillId="5" borderId="0" xfId="0" applyNumberFormat="1" applyFill="1" applyAlignment="1">
      <alignment horizontal="center" vertical="center"/>
    </xf>
    <xf numFmtId="293" fontId="0" fillId="5" borderId="0" xfId="0" applyNumberFormat="1" applyFill="1" applyAlignment="1">
      <alignment horizontal="center" vertical="center"/>
    </xf>
    <xf numFmtId="294" fontId="0" fillId="5" borderId="0" xfId="0" applyNumberFormat="1" applyFill="1" applyAlignment="1">
      <alignment horizontal="center" vertical="center"/>
    </xf>
    <xf numFmtId="273" fontId="0" fillId="5" borderId="0" xfId="0" applyNumberFormat="1" applyFill="1" applyAlignment="1">
      <alignment horizontal="center" vertical="center"/>
    </xf>
    <xf numFmtId="273" fontId="13" fillId="5" borderId="0" xfId="0" applyNumberFormat="1" applyFont="1" applyFill="1" applyAlignment="1">
      <alignment horizontal="center" vertical="center"/>
    </xf>
    <xf numFmtId="296" fontId="0" fillId="5" borderId="0" xfId="1" applyNumberFormat="1" applyFont="1" applyFill="1" applyAlignment="1">
      <alignment horizontal="center" vertical="center"/>
    </xf>
    <xf numFmtId="295" fontId="20" fillId="5" borderId="0" xfId="0" applyNumberFormat="1" applyFont="1" applyFill="1" applyAlignment="1">
      <alignment horizontal="left" vertical="center"/>
    </xf>
    <xf numFmtId="290" fontId="20" fillId="5" borderId="0" xfId="0" applyNumberFormat="1" applyFont="1" applyFill="1" applyAlignment="1">
      <alignment horizontal="left" vertical="center"/>
    </xf>
    <xf numFmtId="297" fontId="11" fillId="5" borderId="0" xfId="0" applyNumberFormat="1" applyFont="1" applyFill="1" applyAlignment="1">
      <alignment horizontal="center"/>
    </xf>
    <xf numFmtId="295" fontId="24" fillId="5" borderId="0" xfId="0" applyNumberFormat="1" applyFont="1" applyFill="1" applyAlignment="1">
      <alignment horizontal="left" vertical="center"/>
    </xf>
    <xf numFmtId="290" fontId="24" fillId="5" borderId="0" xfId="0" applyNumberFormat="1" applyFont="1" applyFill="1" applyAlignment="1">
      <alignment horizontal="left" vertical="center"/>
    </xf>
    <xf numFmtId="273" fontId="24" fillId="5" borderId="0" xfId="0" applyNumberFormat="1" applyFont="1" applyFill="1" applyAlignment="1">
      <alignment horizontal="left" vertical="center"/>
    </xf>
    <xf numFmtId="296" fontId="24" fillId="5" borderId="0" xfId="1" applyNumberFormat="1" applyFont="1" applyFill="1" applyAlignment="1">
      <alignment horizontal="left" vertical="center"/>
    </xf>
    <xf numFmtId="231" fontId="11" fillId="5" borderId="0" xfId="0" applyNumberFormat="1" applyFont="1" applyFill="1" applyAlignment="1">
      <alignment horizontal="center"/>
    </xf>
    <xf numFmtId="221" fontId="11" fillId="5" borderId="0" xfId="0" applyNumberFormat="1" applyFont="1" applyFill="1" applyAlignment="1">
      <alignment horizontal="center" vertical="center"/>
    </xf>
    <xf numFmtId="221" fontId="24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/>
    </xf>
    <xf numFmtId="10" fontId="0" fillId="5" borderId="0" xfId="4" applyNumberFormat="1" applyFont="1" applyFill="1"/>
    <xf numFmtId="10" fontId="0" fillId="5" borderId="0" xfId="0" applyNumberFormat="1" applyFill="1"/>
    <xf numFmtId="298" fontId="0" fillId="5" borderId="0" xfId="0" applyNumberFormat="1" applyFill="1" applyAlignment="1">
      <alignment horizontal="left"/>
    </xf>
    <xf numFmtId="4" fontId="0" fillId="5" borderId="0" xfId="0" applyNumberFormat="1" applyFill="1"/>
    <xf numFmtId="0" fontId="0" fillId="20" borderId="0" xfId="0" applyFill="1"/>
    <xf numFmtId="0" fontId="5" fillId="20" borderId="0" xfId="0" applyFont="1" applyFill="1"/>
    <xf numFmtId="0" fontId="82" fillId="0" borderId="0" xfId="0" applyFont="1" applyAlignment="1"/>
    <xf numFmtId="0" fontId="83" fillId="0" borderId="0" xfId="0" applyFont="1" applyAlignment="1">
      <alignment horizontal="left"/>
    </xf>
    <xf numFmtId="0" fontId="82" fillId="0" borderId="0" xfId="0" applyFont="1" applyAlignment="1">
      <alignment horizontal="center"/>
    </xf>
    <xf numFmtId="0" fontId="82" fillId="0" borderId="0" xfId="0" applyFont="1"/>
    <xf numFmtId="0" fontId="83" fillId="0" borderId="0" xfId="0" applyFont="1" applyAlignment="1">
      <alignment horizontal="center"/>
    </xf>
    <xf numFmtId="299" fontId="83" fillId="0" borderId="0" xfId="0" applyNumberFormat="1" applyFont="1" applyAlignment="1">
      <alignment horizontal="center"/>
    </xf>
    <xf numFmtId="0" fontId="83" fillId="0" borderId="0" xfId="0" applyFont="1"/>
    <xf numFmtId="0" fontId="84" fillId="0" borderId="0" xfId="0" applyFont="1" applyAlignment="1"/>
    <xf numFmtId="0" fontId="85" fillId="0" borderId="0" xfId="0" applyFont="1" applyAlignment="1">
      <alignment horizontal="left"/>
    </xf>
    <xf numFmtId="0" fontId="86" fillId="21" borderId="0" xfId="0" applyFont="1" applyFill="1" applyAlignment="1">
      <alignment horizontal="left"/>
    </xf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center" vertical="top" wrapText="1"/>
    </xf>
    <xf numFmtId="0" fontId="87" fillId="21" borderId="0" xfId="0" applyFont="1" applyFill="1" applyBorder="1" applyAlignment="1">
      <alignment horizontal="center" vertical="top" wrapText="1"/>
    </xf>
    <xf numFmtId="0" fontId="87" fillId="0" borderId="16" xfId="0" applyFont="1" applyBorder="1" applyAlignment="1"/>
    <xf numFmtId="0" fontId="88" fillId="0" borderId="16" xfId="0" applyFont="1" applyBorder="1" applyAlignment="1">
      <alignment horizontal="center"/>
    </xf>
    <xf numFmtId="0" fontId="88" fillId="21" borderId="16" xfId="0" applyFont="1" applyFill="1" applyBorder="1" applyAlignment="1">
      <alignment horizontal="center"/>
    </xf>
    <xf numFmtId="9" fontId="83" fillId="0" borderId="0" xfId="4" applyNumberFormat="1" applyFont="1" applyAlignment="1">
      <alignment horizontal="center"/>
    </xf>
    <xf numFmtId="0" fontId="83" fillId="22" borderId="0" xfId="0" applyFont="1" applyFill="1" applyAlignment="1">
      <alignment horizontal="center"/>
    </xf>
    <xf numFmtId="0" fontId="88" fillId="21" borderId="0" xfId="0" applyFont="1" applyFill="1" applyBorder="1" applyAlignment="1">
      <alignment horizontal="center"/>
    </xf>
    <xf numFmtId="0" fontId="83" fillId="0" borderId="16" xfId="0" applyFont="1" applyBorder="1" applyAlignment="1">
      <alignment horizontal="center"/>
    </xf>
    <xf numFmtId="9" fontId="83" fillId="0" borderId="16" xfId="4" applyNumberFormat="1" applyFont="1" applyBorder="1" applyAlignment="1">
      <alignment horizontal="center"/>
    </xf>
    <xf numFmtId="0" fontId="89" fillId="0" borderId="0" xfId="0" applyFont="1" applyAlignment="1">
      <alignment horizontal="center"/>
    </xf>
    <xf numFmtId="0" fontId="89" fillId="0" borderId="16" xfId="0" applyFont="1" applyBorder="1" applyAlignment="1">
      <alignment horizontal="center"/>
    </xf>
    <xf numFmtId="0" fontId="82" fillId="0" borderId="12" xfId="0" applyFont="1" applyBorder="1" applyAlignment="1"/>
    <xf numFmtId="0" fontId="83" fillId="0" borderId="12" xfId="0" applyFont="1" applyBorder="1" applyAlignment="1">
      <alignment horizontal="center"/>
    </xf>
    <xf numFmtId="9" fontId="83" fillId="0" borderId="12" xfId="4" applyNumberFormat="1" applyFont="1" applyBorder="1" applyAlignment="1">
      <alignment horizontal="center"/>
    </xf>
    <xf numFmtId="0" fontId="88" fillId="21" borderId="12" xfId="0" applyFont="1" applyFill="1" applyBorder="1" applyAlignment="1">
      <alignment horizontal="center"/>
    </xf>
    <xf numFmtId="9" fontId="89" fillId="0" borderId="0" xfId="4" applyNumberFormat="1" applyFont="1" applyAlignment="1">
      <alignment horizontal="center"/>
    </xf>
    <xf numFmtId="0" fontId="90" fillId="21" borderId="0" xfId="0" applyFont="1" applyFill="1" applyBorder="1" applyAlignment="1">
      <alignment horizontal="center"/>
    </xf>
    <xf numFmtId="173" fontId="83" fillId="0" borderId="0" xfId="4" applyNumberFormat="1" applyFont="1" applyAlignment="1">
      <alignment horizontal="center"/>
    </xf>
    <xf numFmtId="173" fontId="83" fillId="0" borderId="16" xfId="4" applyNumberFormat="1" applyFont="1" applyBorder="1" applyAlignment="1">
      <alignment horizontal="center"/>
    </xf>
    <xf numFmtId="0" fontId="87" fillId="0" borderId="0" xfId="0" applyFont="1" applyAlignment="1"/>
    <xf numFmtId="0" fontId="88" fillId="0" borderId="0" xfId="0" applyFont="1" applyAlignment="1">
      <alignment horizontal="left" vertical="top"/>
    </xf>
    <xf numFmtId="0" fontId="91" fillId="20" borderId="0" xfId="0" applyFont="1" applyFill="1"/>
    <xf numFmtId="2" fontId="83" fillId="0" borderId="0" xfId="0" applyNumberFormat="1" applyFont="1" applyAlignment="1">
      <alignment horizontal="center"/>
    </xf>
    <xf numFmtId="2" fontId="83" fillId="0" borderId="16" xfId="0" applyNumberFormat="1" applyFont="1" applyBorder="1" applyAlignment="1">
      <alignment horizontal="center"/>
    </xf>
    <xf numFmtId="2" fontId="83" fillId="0" borderId="0" xfId="0" applyNumberFormat="1" applyFont="1"/>
    <xf numFmtId="0" fontId="92" fillId="0" borderId="0" xfId="0" applyFont="1" applyAlignment="1"/>
    <xf numFmtId="2" fontId="89" fillId="0" borderId="0" xfId="0" applyNumberFormat="1" applyFont="1" applyAlignment="1">
      <alignment horizontal="center"/>
    </xf>
    <xf numFmtId="0" fontId="89" fillId="22" borderId="0" xfId="0" applyFont="1" applyFill="1" applyAlignment="1">
      <alignment horizontal="center"/>
    </xf>
    <xf numFmtId="173" fontId="89" fillId="0" borderId="0" xfId="4" applyNumberFormat="1" applyFont="1" applyAlignment="1">
      <alignment horizontal="center"/>
    </xf>
    <xf numFmtId="2" fontId="89" fillId="22" borderId="0" xfId="0" applyNumberFormat="1" applyFont="1" applyFill="1" applyAlignment="1">
      <alignment horizontal="center"/>
    </xf>
    <xf numFmtId="167" fontId="5" fillId="20" borderId="0" xfId="0" applyNumberFormat="1" applyFont="1" applyFill="1" applyAlignment="1">
      <alignment horizontal="center"/>
    </xf>
    <xf numFmtId="0" fontId="88" fillId="0" borderId="0" xfId="0" applyFont="1" applyAlignment="1">
      <alignment horizontal="left" vertical="top" wrapText="1"/>
    </xf>
    <xf numFmtId="0" fontId="88" fillId="0" borderId="0" xfId="0" applyFont="1" applyAlignment="1">
      <alignment horizontal="left" vertical="top"/>
    </xf>
    <xf numFmtId="0" fontId="40" fillId="0" borderId="1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16" fontId="0" fillId="5" borderId="104" xfId="0" quotePrefix="1" applyNumberFormat="1" applyFill="1" applyBorder="1" applyAlignment="1">
      <alignment horizontal="center" vertical="center"/>
    </xf>
    <xf numFmtId="16" fontId="0" fillId="5" borderId="105" xfId="0" quotePrefix="1" applyNumberFormat="1" applyFill="1" applyBorder="1" applyAlignment="1">
      <alignment horizontal="center" vertical="center"/>
    </xf>
    <xf numFmtId="16" fontId="0" fillId="5" borderId="106" xfId="0" quotePrefix="1" applyNumberFormat="1" applyFill="1" applyBorder="1" applyAlignment="1">
      <alignment horizontal="center" vertical="center"/>
    </xf>
    <xf numFmtId="16" fontId="0" fillId="5" borderId="107" xfId="0" quotePrefix="1" applyNumberFormat="1" applyFill="1" applyBorder="1" applyAlignment="1">
      <alignment horizontal="center" vertical="center"/>
    </xf>
    <xf numFmtId="16" fontId="0" fillId="5" borderId="0" xfId="0" quotePrefix="1" applyNumberFormat="1" applyFill="1" applyBorder="1" applyAlignment="1">
      <alignment horizontal="center" vertical="center"/>
    </xf>
    <xf numFmtId="16" fontId="0" fillId="5" borderId="7" xfId="0" quotePrefix="1" applyNumberFormat="1" applyFill="1" applyBorder="1" applyAlignment="1">
      <alignment horizontal="center" vertical="center"/>
    </xf>
    <xf numFmtId="16" fontId="0" fillId="5" borderId="108" xfId="0" quotePrefix="1" applyNumberFormat="1" applyFill="1" applyBorder="1" applyAlignment="1">
      <alignment horizontal="center" vertical="center"/>
    </xf>
    <xf numFmtId="16" fontId="0" fillId="5" borderId="9" xfId="0" quotePrefix="1" applyNumberFormat="1" applyFill="1" applyBorder="1" applyAlignment="1">
      <alignment horizontal="center" vertical="center"/>
    </xf>
    <xf numFmtId="16" fontId="0" fillId="5" borderId="10" xfId="0" quotePrefix="1" applyNumberFormat="1" applyFill="1" applyBorder="1" applyAlignment="1">
      <alignment horizontal="center" vertical="center"/>
    </xf>
    <xf numFmtId="14" fontId="0" fillId="5" borderId="100" xfId="0" quotePrefix="1" applyNumberFormat="1" applyFill="1" applyBorder="1" applyAlignment="1">
      <alignment horizontal="center"/>
    </xf>
    <xf numFmtId="14" fontId="0" fillId="5" borderId="75" xfId="0" quotePrefix="1" applyNumberFormat="1" applyFill="1" applyBorder="1" applyAlignment="1">
      <alignment horizontal="center"/>
    </xf>
    <xf numFmtId="14" fontId="0" fillId="5" borderId="76" xfId="0" quotePrefix="1" applyNumberFormat="1" applyFill="1" applyBorder="1" applyAlignment="1">
      <alignment horizontal="center"/>
    </xf>
    <xf numFmtId="0" fontId="0" fillId="5" borderId="72" xfId="0" applyFill="1" applyBorder="1" applyAlignment="1">
      <alignment horizontal="center"/>
    </xf>
    <xf numFmtId="0" fontId="0" fillId="5" borderId="76" xfId="0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0" fillId="5" borderId="103" xfId="0" applyFill="1" applyBorder="1" applyAlignment="1">
      <alignment horizontal="center"/>
    </xf>
    <xf numFmtId="0" fontId="0" fillId="5" borderId="98" xfId="0" applyFill="1" applyBorder="1" applyAlignment="1">
      <alignment horizontal="center"/>
    </xf>
    <xf numFmtId="0" fontId="0" fillId="5" borderId="96" xfId="0" applyFill="1" applyBorder="1" applyAlignment="1">
      <alignment horizontal="center"/>
    </xf>
    <xf numFmtId="0" fontId="0" fillId="5" borderId="97" xfId="0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8" fillId="10" borderId="4" xfId="0" applyFont="1" applyFill="1" applyBorder="1" applyAlignment="1">
      <alignment horizontal="center" wrapText="1"/>
    </xf>
    <xf numFmtId="0" fontId="18" fillId="10" borderId="4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50" fillId="5" borderId="107" xfId="0" applyFont="1" applyFill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5" borderId="109" xfId="0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left" wrapText="1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8" fillId="5" borderId="110" xfId="0" applyFont="1" applyFill="1" applyBorder="1" applyAlignment="1">
      <alignment horizontal="center" wrapText="1"/>
    </xf>
    <xf numFmtId="0" fontId="58" fillId="5" borderId="111" xfId="0" applyFont="1" applyFill="1" applyBorder="1" applyAlignment="1">
      <alignment horizontal="center" wrapText="1"/>
    </xf>
    <xf numFmtId="0" fontId="58" fillId="5" borderId="112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_Feuil1" xfId="2"/>
    <cellStyle name="Normal_NC00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externalLink" Target="externalLinks/externalLink8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118265440210251"/>
          <c:y val="9.0909246116364792E-2"/>
          <c:w val="0.73850197109067028"/>
          <c:h val="0.75524604465903078"/>
        </c:manualLayout>
      </c:layout>
      <c:scatterChart>
        <c:scatterStyle val="smoothMarker"/>
        <c:ser>
          <c:idx val="0"/>
          <c:order val="0"/>
          <c:tx>
            <c:strRef>
              <c:f>Sheet3!$H$3</c:f>
              <c:strCache>
                <c:ptCount val="1"/>
                <c:pt idx="0">
                  <c:v>1,05 b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Sheet3!$F$4:$F$20</c:f>
              <c:numCache>
                <c:formatCode>0.00\ "K"</c:formatCode>
                <c:ptCount val="1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</c:numCache>
            </c:numRef>
          </c:xVal>
          <c:yVal>
            <c:numRef>
              <c:f>Sheet3!$H$4:$H$20</c:f>
              <c:numCache>
                <c:formatCode>0.00\ "J/g"</c:formatCode>
                <c:ptCount val="17"/>
                <c:pt idx="0">
                  <c:v>5.2528315035451492</c:v>
                </c:pt>
                <c:pt idx="1">
                  <c:v>5.2594026163836745</c:v>
                </c:pt>
                <c:pt idx="2">
                  <c:v>5.2670791738788445</c:v>
                </c:pt>
                <c:pt idx="3">
                  <c:v>5.2761285970887819</c:v>
                </c:pt>
                <c:pt idx="4">
                  <c:v>5.2869078910338541</c:v>
                </c:pt>
                <c:pt idx="5">
                  <c:v>5.2999042318398679</c:v>
                </c:pt>
                <c:pt idx="6">
                  <c:v>5.3157999587863012</c:v>
                </c:pt>
                <c:pt idx="7">
                  <c:v>5.3355811034327871</c:v>
                </c:pt>
                <c:pt idx="8">
                  <c:v>5.3607278373121883</c:v>
                </c:pt>
                <c:pt idx="9">
                  <c:v>5.393569062696205</c:v>
                </c:pt>
                <c:pt idx="10">
                  <c:v>5.4379916225641027</c:v>
                </c:pt>
                <c:pt idx="11">
                  <c:v>5.5009894346893837</c:v>
                </c:pt>
                <c:pt idx="12">
                  <c:v>5.5964472748507728</c:v>
                </c:pt>
                <c:pt idx="13">
                  <c:v>5.7558705286443681</c:v>
                </c:pt>
                <c:pt idx="14">
                  <c:v>6.066325307959854</c:v>
                </c:pt>
                <c:pt idx="15">
                  <c:v>6.8718818147153131</c:v>
                </c:pt>
                <c:pt idx="16">
                  <c:v>4.3656151810098009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Sheet3!$I$3</c:f>
              <c:strCache>
                <c:ptCount val="1"/>
                <c:pt idx="0">
                  <c:v>2,00 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Sheet3!$F$4:$F$20</c:f>
              <c:numCache>
                <c:formatCode>0.00\ "K"</c:formatCode>
                <c:ptCount val="1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</c:numCache>
            </c:numRef>
          </c:xVal>
          <c:yVal>
            <c:numRef>
              <c:f>Sheet3!$I$4:$I$20</c:f>
              <c:numCache>
                <c:formatCode>0.00\ "J/g"</c:formatCode>
                <c:ptCount val="17"/>
                <c:pt idx="0">
                  <c:v>5.3064424260859688</c:v>
                </c:pt>
                <c:pt idx="1">
                  <c:v>5.319025602496489</c:v>
                </c:pt>
                <c:pt idx="2">
                  <c:v>5.3337779167532133</c:v>
                </c:pt>
                <c:pt idx="3">
                  <c:v>5.3512474691405512</c:v>
                </c:pt>
                <c:pt idx="4">
                  <c:v>5.3721779871273654</c:v>
                </c:pt>
                <c:pt idx="5">
                  <c:v>5.3976048287103868</c:v>
                </c:pt>
                <c:pt idx="6">
                  <c:v>5.4290142308885851</c:v>
                </c:pt>
                <c:pt idx="7">
                  <c:v>5.4686205928434335</c:v>
                </c:pt>
                <c:pt idx="8">
                  <c:v>5.5198781636516321</c:v>
                </c:pt>
                <c:pt idx="9">
                  <c:v>5.5884946498760346</c:v>
                </c:pt>
                <c:pt idx="10">
                  <c:v>5.6846255133029198</c:v>
                </c:pt>
                <c:pt idx="11">
                  <c:v>5.828207891983503</c:v>
                </c:pt>
                <c:pt idx="12">
                  <c:v>6.0642009671408799</c:v>
                </c:pt>
                <c:pt idx="13">
                  <c:v>6.5186506564203759</c:v>
                </c:pt>
                <c:pt idx="14">
                  <c:v>7.7366929615390259</c:v>
                </c:pt>
                <c:pt idx="15">
                  <c:v>16.576321166976008</c:v>
                </c:pt>
                <c:pt idx="16">
                  <c:v>3.9395157448097238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Sheet3!$J$3</c:f>
              <c:strCache>
                <c:ptCount val="1"/>
                <c:pt idx="0">
                  <c:v>5,00 b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Sheet3!$F$4:$F$20</c:f>
              <c:numCache>
                <c:formatCode>0.00\ "K"</c:formatCode>
                <c:ptCount val="1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</c:numCache>
            </c:numRef>
          </c:xVal>
          <c:yVal>
            <c:numRef>
              <c:f>Sheet3!$J$4:$J$20</c:f>
              <c:numCache>
                <c:formatCode>0.00\ "J/g"</c:formatCode>
                <c:ptCount val="17"/>
                <c:pt idx="0">
                  <c:v>5.4720379704900006</c:v>
                </c:pt>
                <c:pt idx="1">
                  <c:v>5.5037850267951498</c:v>
                </c:pt>
                <c:pt idx="2">
                  <c:v>5.5413780390085945</c:v>
                </c:pt>
                <c:pt idx="3">
                  <c:v>5.5864692478650966</c:v>
                </c:pt>
                <c:pt idx="4">
                  <c:v>5.6413962835478078</c:v>
                </c:pt>
                <c:pt idx="5">
                  <c:v>5.7095824944101317</c:v>
                </c:pt>
                <c:pt idx="6">
                  <c:v>5.796255278222195</c:v>
                </c:pt>
                <c:pt idx="7">
                  <c:v>5.9098184543451744</c:v>
                </c:pt>
                <c:pt idx="8">
                  <c:v>6.0646836027956841</c:v>
                </c:pt>
                <c:pt idx="9">
                  <c:v>6.2877032676194675</c:v>
                </c:pt>
                <c:pt idx="10">
                  <c:v>6.6347292767051416</c:v>
                </c:pt>
                <c:pt idx="11">
                  <c:v>7.2408250112835191</c:v>
                </c:pt>
                <c:pt idx="12">
                  <c:v>8.5052515605197279</c:v>
                </c:pt>
                <c:pt idx="13">
                  <c:v>11.647407039340933</c:v>
                </c:pt>
                <c:pt idx="14">
                  <c:v>10.042481795451954</c:v>
                </c:pt>
                <c:pt idx="15">
                  <c:v>4.8457427177281467</c:v>
                </c:pt>
                <c:pt idx="16">
                  <c:v>3.3211283731473267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Sheet3!$K$3</c:f>
              <c:strCache>
                <c:ptCount val="1"/>
                <c:pt idx="0">
                  <c:v>10,00 b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Sheet3!$F$4:$F$20</c:f>
              <c:numCache>
                <c:formatCode>0.00\ "K"</c:formatCode>
                <c:ptCount val="1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</c:numCache>
            </c:numRef>
          </c:xVal>
          <c:yVal>
            <c:numRef>
              <c:f>Sheet3!$K$4:$K$20</c:f>
              <c:numCache>
                <c:formatCode>0.00\ "J/g"</c:formatCode>
                <c:ptCount val="17"/>
                <c:pt idx="0">
                  <c:v>5.7282594988579554</c:v>
                </c:pt>
                <c:pt idx="1">
                  <c:v>5.7898273122349204</c:v>
                </c:pt>
                <c:pt idx="2">
                  <c:v>5.8631556183853011</c:v>
                </c:pt>
                <c:pt idx="3">
                  <c:v>5.9517021377430588</c:v>
                </c:pt>
                <c:pt idx="4">
                  <c:v>6.0603566948768215</c:v>
                </c:pt>
                <c:pt idx="5">
                  <c:v>6.1961936962297104</c:v>
                </c:pt>
                <c:pt idx="6">
                  <c:v>6.3696460249564577</c:v>
                </c:pt>
                <c:pt idx="7">
                  <c:v>6.5961958300448096</c:v>
                </c:pt>
                <c:pt idx="8">
                  <c:v>6.8980743585869604</c:v>
                </c:pt>
                <c:pt idx="9">
                  <c:v>7.3022992848983881</c:v>
                </c:pt>
                <c:pt idx="10">
                  <c:v>7.8187102006752012</c:v>
                </c:pt>
                <c:pt idx="11">
                  <c:v>8.340754099991166</c:v>
                </c:pt>
                <c:pt idx="12">
                  <c:v>8.2481965604217073</c:v>
                </c:pt>
                <c:pt idx="13">
                  <c:v>6.5838152479238943</c:v>
                </c:pt>
                <c:pt idx="14">
                  <c:v>4.8492761412909804</c:v>
                </c:pt>
                <c:pt idx="15">
                  <c:v>3.7182343723895088</c:v>
                </c:pt>
                <c:pt idx="16">
                  <c:v>2.8820946111192858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Sheet3!$L$3</c:f>
              <c:strCache>
                <c:ptCount val="1"/>
                <c:pt idx="0">
                  <c:v>15,00 b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Sheet3!$F$4:$F$20</c:f>
              <c:numCache>
                <c:formatCode>0.00\ "K"</c:formatCode>
                <c:ptCount val="1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</c:numCache>
            </c:numRef>
          </c:xVal>
          <c:yVal>
            <c:numRef>
              <c:f>Sheet3!$L$4:$L$20</c:f>
              <c:numCache>
                <c:formatCode>0.00\ "J/g"</c:formatCode>
                <c:ptCount val="17"/>
                <c:pt idx="0">
                  <c:v>5.9432130431432162</c:v>
                </c:pt>
                <c:pt idx="1">
                  <c:v>6.025279023676207</c:v>
                </c:pt>
                <c:pt idx="2">
                  <c:v>6.1213747721304603</c:v>
                </c:pt>
                <c:pt idx="3">
                  <c:v>6.2346159811925119</c:v>
                </c:pt>
                <c:pt idx="4">
                  <c:v>6.3686460213418306</c:v>
                </c:pt>
                <c:pt idx="5">
                  <c:v>6.5272431138204681</c:v>
                </c:pt>
                <c:pt idx="6">
                  <c:v>6.7130139851844524</c:v>
                </c:pt>
                <c:pt idx="7">
                  <c:v>6.9238834488239069</c:v>
                </c:pt>
                <c:pt idx="8">
                  <c:v>7.1445540689104128</c:v>
                </c:pt>
                <c:pt idx="9">
                  <c:v>7.3260790582210271</c:v>
                </c:pt>
                <c:pt idx="10">
                  <c:v>7.3372244084541078</c:v>
                </c:pt>
                <c:pt idx="11">
                  <c:v>6.9247099788838042</c:v>
                </c:pt>
                <c:pt idx="12">
                  <c:v>6.006302699807323</c:v>
                </c:pt>
                <c:pt idx="13">
                  <c:v>4.9518626949292726</c:v>
                </c:pt>
                <c:pt idx="14">
                  <c:v>4.0402241083768544</c:v>
                </c:pt>
                <c:pt idx="15">
                  <c:v>3.299109675044436</c:v>
                </c:pt>
                <c:pt idx="16">
                  <c:v>2.6343965813312566</c:v>
                </c:pt>
              </c:numCache>
            </c:numRef>
          </c:yVal>
          <c:smooth val="1"/>
        </c:ser>
        <c:axId val="117137792"/>
        <c:axId val="117140096"/>
      </c:scatterChart>
      <c:valAx>
        <c:axId val="117137792"/>
        <c:scaling>
          <c:orientation val="minMax"/>
        </c:scaling>
        <c:axPos val="b"/>
        <c:numFmt formatCode="0.00\ &quot;K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140096"/>
        <c:crosses val="autoZero"/>
        <c:crossBetween val="midCat"/>
      </c:valAx>
      <c:valAx>
        <c:axId val="11714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\ &quot;J/g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71377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436268068331148"/>
          <c:y val="0.29370666079327501"/>
          <c:w val="0.9894875164257555"/>
          <c:h val="0.646854248114090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8572852133343"/>
          <c:y val="7.8125E-2"/>
          <c:w val="0.73061297294819549"/>
          <c:h val="0.72812500000000013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90831488"/>
        <c:axId val="91620096"/>
      </c:scatterChart>
      <c:scatterChart>
        <c:scatterStyle val="lineMarker"/>
        <c:ser>
          <c:idx val="1"/>
          <c:order val="1"/>
          <c:tx>
            <c:strRef>
              <c:f>'Turbine  Libre'!$M$24</c:f>
              <c:strCache>
                <c:ptCount val="1"/>
                <c:pt idx="0">
                  <c:v>T outlet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Libre'!$M$25:$M$47</c:f>
              <c:numCache>
                <c:formatCode>0.00</c:formatCode>
                <c:ptCount val="23"/>
                <c:pt idx="0">
                  <c:v>15.741117429250357</c:v>
                </c:pt>
                <c:pt idx="1">
                  <c:v>15.276221312550973</c:v>
                </c:pt>
                <c:pt idx="2">
                  <c:v>14.818828150100616</c:v>
                </c:pt>
                <c:pt idx="3">
                  <c:v>14.367877238631612</c:v>
                </c:pt>
                <c:pt idx="4">
                  <c:v>13.922069082895819</c:v>
                </c:pt>
                <c:pt idx="5">
                  <c:v>13.479868388640167</c:v>
                </c:pt>
                <c:pt idx="6">
                  <c:v>13.039541814733454</c:v>
                </c:pt>
                <c:pt idx="7">
                  <c:v>12.599226764092169</c:v>
                </c:pt>
                <c:pt idx="8">
                  <c:v>12.1570235300329</c:v>
                </c:pt>
                <c:pt idx="9">
                  <c:v>11.711098186296161</c:v>
                </c:pt>
                <c:pt idx="10">
                  <c:v>11.259777178887331</c:v>
                </c:pt>
                <c:pt idx="11">
                  <c:v>10.801605264356841</c:v>
                </c:pt>
                <c:pt idx="12">
                  <c:v>10.522990370159473</c:v>
                </c:pt>
                <c:pt idx="13">
                  <c:v>10.336832592559013</c:v>
                </c:pt>
                <c:pt idx="14">
                  <c:v>10.102203296069892</c:v>
                </c:pt>
                <c:pt idx="15">
                  <c:v>9.86536918690752</c:v>
                </c:pt>
                <c:pt idx="16">
                  <c:v>9.6262741866023838</c:v>
                </c:pt>
                <c:pt idx="17">
                  <c:v>9.3848567719162261</c:v>
                </c:pt>
                <c:pt idx="18">
                  <c:v>9.1410327791865402</c:v>
                </c:pt>
                <c:pt idx="19">
                  <c:v>8.8946723257355433</c:v>
                </c:pt>
                <c:pt idx="20">
                  <c:v>8.6455701178735982</c:v>
                </c:pt>
                <c:pt idx="21">
                  <c:v>8.3934090056518826</c:v>
                </c:pt>
                <c:pt idx="22">
                  <c:v>8.1377184645236689</c:v>
                </c:pt>
              </c:numCache>
            </c:numRef>
          </c:yVal>
          <c:smooth val="1"/>
        </c:ser>
        <c:axId val="91622016"/>
        <c:axId val="91636096"/>
      </c:scatterChart>
      <c:valAx>
        <c:axId val="90831488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5102083668112913"/>
              <c:y val="0.890625000000000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20096"/>
        <c:crosses val="autoZero"/>
        <c:crossBetween val="midCat"/>
      </c:valAx>
      <c:valAx>
        <c:axId val="91620096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61224489795919E-2"/>
              <c:y val="0.331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31488"/>
        <c:crosses val="autoZero"/>
        <c:crossBetween val="midCat"/>
      </c:valAx>
      <c:valAx>
        <c:axId val="91622016"/>
        <c:scaling>
          <c:orientation val="minMax"/>
        </c:scaling>
        <c:delete val="1"/>
        <c:axPos val="b"/>
        <c:numFmt formatCode="General" sourceLinked="1"/>
        <c:tickLblPos val="none"/>
        <c:crossAx val="91636096"/>
        <c:crosses val="autoZero"/>
        <c:crossBetween val="midCat"/>
      </c:valAx>
      <c:valAx>
        <c:axId val="91636096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outlet (K)</a:t>
                </a:r>
              </a:p>
            </c:rich>
          </c:tx>
          <c:layout>
            <c:manualLayout>
              <c:xMode val="edge"/>
              <c:yMode val="edge"/>
              <c:x val="0.91836820397450314"/>
              <c:y val="0.3406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22016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836756119770745"/>
          <c:y val="0.13437499999999997"/>
          <c:w val="0.3775514489260271"/>
          <c:h val="0.256249999999999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56619144602856"/>
          <c:y val="7.7881856873834435E-2"/>
          <c:w val="0.71283095723014278"/>
          <c:h val="0.72897418033909045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91662208"/>
        <c:axId val="91668480"/>
      </c:scatterChart>
      <c:scatterChart>
        <c:scatterStyle val="lineMarker"/>
        <c:ser>
          <c:idx val="1"/>
          <c:order val="1"/>
          <c:tx>
            <c:strRef>
              <c:f>'Turbine  Libre'!$J$24</c:f>
              <c:strCache>
                <c:ptCount val="1"/>
                <c:pt idx="0">
                  <c:v>Rndt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Libre'!$J$25:$J$47</c:f>
              <c:numCache>
                <c:formatCode>0.00</c:formatCode>
                <c:ptCount val="23"/>
                <c:pt idx="0">
                  <c:v>70.998253916648935</c:v>
                </c:pt>
                <c:pt idx="1">
                  <c:v>70.624423715593338</c:v>
                </c:pt>
                <c:pt idx="2">
                  <c:v>70.181837566739802</c:v>
                </c:pt>
                <c:pt idx="3">
                  <c:v>69.668586628865839</c:v>
                </c:pt>
                <c:pt idx="4">
                  <c:v>69.083809457194292</c:v>
                </c:pt>
                <c:pt idx="5">
                  <c:v>68.427876480595657</c:v>
                </c:pt>
                <c:pt idx="6">
                  <c:v>67.702405367193393</c:v>
                </c:pt>
                <c:pt idx="7">
                  <c:v>66.910084522886507</c:v>
                </c:pt>
                <c:pt idx="8">
                  <c:v>66.054302595481303</c:v>
                </c:pt>
                <c:pt idx="9">
                  <c:v>65.13862023627172</c:v>
                </c:pt>
                <c:pt idx="10">
                  <c:v>64.166189680228371</c:v>
                </c:pt>
                <c:pt idx="11">
                  <c:v>63.139355890888538</c:v>
                </c:pt>
                <c:pt idx="12">
                  <c:v>62.497555205894983</c:v>
                </c:pt>
                <c:pt idx="13">
                  <c:v>62.055059387799531</c:v>
                </c:pt>
                <c:pt idx="14">
                  <c:v>61.489159965387543</c:v>
                </c:pt>
                <c:pt idx="15">
                  <c:v>60.908571759653462</c:v>
                </c:pt>
                <c:pt idx="16">
                  <c:v>60.312744151668753</c:v>
                </c:pt>
                <c:pt idx="17">
                  <c:v>59.701234042305096</c:v>
                </c:pt>
                <c:pt idx="18">
                  <c:v>59.07392596623238</c:v>
                </c:pt>
                <c:pt idx="19">
                  <c:v>58.431362209828777</c:v>
                </c:pt>
                <c:pt idx="20">
                  <c:v>57.775217507744898</c:v>
                </c:pt>
                <c:pt idx="21">
                  <c:v>57.10895711188202</c:v>
                </c:pt>
                <c:pt idx="22">
                  <c:v>56.438713066962123</c:v>
                </c:pt>
              </c:numCache>
            </c:numRef>
          </c:yVal>
          <c:smooth val="1"/>
        </c:ser>
        <c:axId val="91670400"/>
        <c:axId val="91671936"/>
      </c:scatterChart>
      <c:valAx>
        <c:axId val="91662208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95519348268841"/>
              <c:y val="0.890968348582595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68480"/>
        <c:crosses val="autoZero"/>
        <c:crossBetween val="midCat"/>
      </c:valAx>
      <c:valAx>
        <c:axId val="91668480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549898167006113E-2"/>
              <c:y val="0.333334314519096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62208"/>
        <c:crosses val="autoZero"/>
        <c:crossBetween val="midCat"/>
      </c:valAx>
      <c:valAx>
        <c:axId val="91670400"/>
        <c:scaling>
          <c:orientation val="minMax"/>
        </c:scaling>
        <c:delete val="1"/>
        <c:axPos val="b"/>
        <c:numFmt formatCode="General" sourceLinked="1"/>
        <c:tickLblPos val="none"/>
        <c:crossAx val="91671936"/>
        <c:crosses val="autoZero"/>
        <c:crossBetween val="midCat"/>
      </c:valAx>
      <c:valAx>
        <c:axId val="91671936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Rndt (%)</a:t>
                </a:r>
              </a:p>
            </c:rich>
          </c:tx>
          <c:layout>
            <c:manualLayout>
              <c:xMode val="edge"/>
              <c:yMode val="edge"/>
              <c:x val="0.91853360488798352"/>
              <c:y val="0.36760222729168207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70400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7922606924643586"/>
          <c:y val="9.3458270987154646E-2"/>
          <c:w val="0.33808553971486777"/>
          <c:h val="0.214953925151879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27670516685953"/>
          <c:y val="7.763986928600132E-2"/>
          <c:w val="0.71341605019382437"/>
          <c:h val="0.72981477128841254"/>
        </c:manualLayout>
      </c:layout>
      <c:scatterChart>
        <c:scatterStyle val="smoothMarker"/>
        <c:ser>
          <c:idx val="0"/>
          <c:order val="0"/>
          <c:tx>
            <c:strRef>
              <c:f>'Turbine  Libre'!$L$24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Libre'!$L$25:$L$47</c:f>
              <c:numCache>
                <c:formatCode>0.0</c:formatCode>
                <c:ptCount val="23"/>
                <c:pt idx="0">
                  <c:v>3106.4130620455703</c:v>
                </c:pt>
                <c:pt idx="1">
                  <c:v>3082.0450633252208</c:v>
                </c:pt>
                <c:pt idx="2">
                  <c:v>3058.8674403727337</c:v>
                </c:pt>
                <c:pt idx="3">
                  <c:v>3036.3619790646385</c:v>
                </c:pt>
                <c:pt idx="4">
                  <c:v>3014.0218500281389</c:v>
                </c:pt>
                <c:pt idx="5">
                  <c:v>2991.3513748306418</c:v>
                </c:pt>
                <c:pt idx="6">
                  <c:v>2967.8676655996437</c:v>
                </c:pt>
                <c:pt idx="7">
                  <c:v>2943.1038115702413</c:v>
                </c:pt>
                <c:pt idx="8">
                  <c:v>2916.6128500310938</c:v>
                </c:pt>
                <c:pt idx="9">
                  <c:v>2887.9708384505439</c:v>
                </c:pt>
                <c:pt idx="10">
                  <c:v>2856.7755164862015</c:v>
                </c:pt>
                <c:pt idx="11">
                  <c:v>2822.6334486285</c:v>
                </c:pt>
                <c:pt idx="12">
                  <c:v>2800.5347346169278</c:v>
                </c:pt>
                <c:pt idx="13">
                  <c:v>2784.7564291364033</c:v>
                </c:pt>
                <c:pt idx="14">
                  <c:v>2764.1761668605905</c:v>
                </c:pt>
                <c:pt idx="15">
                  <c:v>2742.5990264392713</c:v>
                </c:pt>
                <c:pt idx="16">
                  <c:v>2719.9703463756305</c:v>
                </c:pt>
                <c:pt idx="17">
                  <c:v>2696.2222233622688</c:v>
                </c:pt>
                <c:pt idx="18">
                  <c:v>2671.2651486917889</c:v>
                </c:pt>
                <c:pt idx="19">
                  <c:v>2644.9760802522724</c:v>
                </c:pt>
                <c:pt idx="20">
                  <c:v>2617.181725601271</c:v>
                </c:pt>
                <c:pt idx="21">
                  <c:v>2587.6355155306005</c:v>
                </c:pt>
                <c:pt idx="22">
                  <c:v>2555.9865085873257</c:v>
                </c:pt>
              </c:numCache>
            </c:numRef>
          </c:yVal>
          <c:smooth val="1"/>
        </c:ser>
        <c:axId val="91907200"/>
        <c:axId val="91909120"/>
      </c:scatterChart>
      <c:scatterChart>
        <c:scatterStyle val="lineMarker"/>
        <c:ser>
          <c:idx val="1"/>
          <c:order val="1"/>
          <c:tx>
            <c:strRef>
              <c:f>'Turbine  Libre'!$D$24</c:f>
              <c:strCache>
                <c:ptCount val="1"/>
                <c:pt idx="0">
                  <c:v>Pression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 Libre'!$C$25:$C$47</c:f>
              <c:numCache>
                <c:formatCode>General</c:formatCode>
                <c:ptCount val="23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19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 Libre'!$D$25:$D$47</c:f>
              <c:numCache>
                <c:formatCode>General</c:formatCode>
                <c:ptCount val="2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</c:numCache>
            </c:numRef>
          </c:yVal>
          <c:smooth val="1"/>
        </c:ser>
        <c:axId val="92214400"/>
        <c:axId val="92215936"/>
      </c:scatterChart>
      <c:valAx>
        <c:axId val="91907200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05776412094833"/>
              <c:y val="0.891305652010889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909120"/>
        <c:crosses val="autoZero"/>
        <c:crossBetween val="midCat"/>
      </c:valAx>
      <c:valAx>
        <c:axId val="91909120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487804878048783E-2"/>
              <c:y val="0.3322987887383642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907200"/>
        <c:crosses val="autoZero"/>
        <c:crossBetween val="midCat"/>
      </c:valAx>
      <c:valAx>
        <c:axId val="92214400"/>
        <c:scaling>
          <c:orientation val="minMax"/>
        </c:scaling>
        <c:delete val="1"/>
        <c:axPos val="b"/>
        <c:numFmt formatCode="General" sourceLinked="1"/>
        <c:tickLblPos val="none"/>
        <c:crossAx val="92215936"/>
        <c:crosses val="autoZero"/>
        <c:crossBetween val="midCat"/>
      </c:valAx>
      <c:valAx>
        <c:axId val="92215936"/>
        <c:scaling>
          <c:orientation val="minMax"/>
          <c:max val="17"/>
          <c:min val="15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Pression (bars)</a:t>
                </a:r>
              </a:p>
            </c:rich>
          </c:tx>
          <c:layout>
            <c:manualLayout>
              <c:xMode val="edge"/>
              <c:yMode val="edge"/>
              <c:x val="0.91870110748351586"/>
              <c:y val="0.30124256207104549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214400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7479717474340098"/>
          <c:y val="0.19875809002135603"/>
          <c:w val="0.3434967885111922"/>
          <c:h val="0.31987642848991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5179233621755205E-2"/>
          <c:y val="9.0909246116364792E-2"/>
          <c:w val="0.75401730531520383"/>
          <c:h val="0.75524604465903078"/>
        </c:manualLayout>
      </c:layout>
      <c:scatterChart>
        <c:scatterStyle val="smoothMarker"/>
        <c:ser>
          <c:idx val="0"/>
          <c:order val="0"/>
          <c:tx>
            <c:strRef>
              <c:f>Sheet3!$Q$3</c:f>
              <c:strCache>
                <c:ptCount val="1"/>
                <c:pt idx="0">
                  <c:v>4,50 K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Sheet3!$N$4:$N$20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Sheet3!$Q$4:$Q$20</c:f>
              <c:numCache>
                <c:formatCode>0.00\ "J/g"</c:formatCode>
                <c:ptCount val="17"/>
                <c:pt idx="0">
                  <c:v>158.59886901315136</c:v>
                </c:pt>
                <c:pt idx="1">
                  <c:v>157.33084138373064</c:v>
                </c:pt>
                <c:pt idx="2">
                  <c:v>156.00546304012815</c:v>
                </c:pt>
                <c:pt idx="3">
                  <c:v>154.61600557451317</c:v>
                </c:pt>
                <c:pt idx="4">
                  <c:v>153.1543626740775</c:v>
                </c:pt>
                <c:pt idx="5">
                  <c:v>151.61062994067359</c:v>
                </c:pt>
                <c:pt idx="6">
                  <c:v>149.97250743744948</c:v>
                </c:pt>
                <c:pt idx="7">
                  <c:v>148.22442532228536</c:v>
                </c:pt>
                <c:pt idx="8">
                  <c:v>146.34621984492966</c:v>
                </c:pt>
                <c:pt idx="9">
                  <c:v>144.31104463058676</c:v>
                </c:pt>
                <c:pt idx="10">
                  <c:v>142.08190577301605</c:v>
                </c:pt>
                <c:pt idx="11">
                  <c:v>139.60553903115991</c:v>
                </c:pt>
                <c:pt idx="12">
                  <c:v>136.80066356302726</c:v>
                </c:pt>
                <c:pt idx="13">
                  <c:v>133.53277912021721</c:v>
                </c:pt>
                <c:pt idx="14">
                  <c:v>129.55049925005241</c:v>
                </c:pt>
                <c:pt idx="15">
                  <c:v>124.27519017466355</c:v>
                </c:pt>
                <c:pt idx="16">
                  <c:v>14.251128215182785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Sheet3!$R$3</c:f>
              <c:strCache>
                <c:ptCount val="1"/>
                <c:pt idx="0">
                  <c:v>5,00 K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Sheet3!$N$4:$N$20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Sheet3!$R$4:$R$20</c:f>
              <c:numCache>
                <c:formatCode>0.00\ "J/g"</c:formatCode>
                <c:ptCount val="17"/>
                <c:pt idx="0">
                  <c:v>155.02888083087532</c:v>
                </c:pt>
                <c:pt idx="1">
                  <c:v>153.62804907474148</c:v>
                </c:pt>
                <c:pt idx="2">
                  <c:v>152.15574119025021</c:v>
                </c:pt>
                <c:pt idx="3">
                  <c:v>150.6024650552088</c:v>
                </c:pt>
                <c:pt idx="4">
                  <c:v>148.95652378944592</c:v>
                </c:pt>
                <c:pt idx="5">
                  <c:v>147.20324850657363</c:v>
                </c:pt>
                <c:pt idx="6">
                  <c:v>145.32385791550408</c:v>
                </c:pt>
                <c:pt idx="7">
                  <c:v>143.29369979872834</c:v>
                </c:pt>
                <c:pt idx="8">
                  <c:v>141.07941597466404</c:v>
                </c:pt>
                <c:pt idx="9">
                  <c:v>138.63411334304226</c:v>
                </c:pt>
                <c:pt idx="10">
                  <c:v>135.88854325105285</c:v>
                </c:pt>
                <c:pt idx="11">
                  <c:v>132.73343422211263</c:v>
                </c:pt>
                <c:pt idx="12">
                  <c:v>128.97927204592926</c:v>
                </c:pt>
                <c:pt idx="13">
                  <c:v>124.24525426760974</c:v>
                </c:pt>
                <c:pt idx="14">
                  <c:v>117.52937315721205</c:v>
                </c:pt>
                <c:pt idx="15">
                  <c:v>102.84908543960121</c:v>
                </c:pt>
                <c:pt idx="16">
                  <c:v>11.780297733711095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Sheet3!$S$3</c:f>
              <c:strCache>
                <c:ptCount val="1"/>
                <c:pt idx="0">
                  <c:v>5,50 K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Sheet3!$N$4:$N$20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Sheet3!$S$4:$S$20</c:f>
              <c:numCache>
                <c:formatCode>0.00\ "J/g"</c:formatCode>
                <c:ptCount val="17"/>
                <c:pt idx="0">
                  <c:v>151.02107711180824</c:v>
                </c:pt>
                <c:pt idx="1">
                  <c:v>149.46098629360674</c:v>
                </c:pt>
                <c:pt idx="2">
                  <c:v>147.81035458049274</c:v>
                </c:pt>
                <c:pt idx="3">
                  <c:v>146.05547072027358</c:v>
                </c:pt>
                <c:pt idx="4">
                  <c:v>144.17898755545062</c:v>
                </c:pt>
                <c:pt idx="5">
                  <c:v>142.15846798113722</c:v>
                </c:pt>
                <c:pt idx="6">
                  <c:v>139.96410929696188</c:v>
                </c:pt>
                <c:pt idx="7">
                  <c:v>137.55501082794203</c:v>
                </c:pt>
                <c:pt idx="8">
                  <c:v>134.87267915875594</c:v>
                </c:pt>
                <c:pt idx="9">
                  <c:v>131.82886351525164</c:v>
                </c:pt>
                <c:pt idx="10">
                  <c:v>128.28038199191491</c:v>
                </c:pt>
                <c:pt idx="11">
                  <c:v>123.96929808304706</c:v>
                </c:pt>
                <c:pt idx="12">
                  <c:v>118.34728238649689</c:v>
                </c:pt>
                <c:pt idx="13">
                  <c:v>109.82308989305601</c:v>
                </c:pt>
                <c:pt idx="14">
                  <c:v>86.22260965211548</c:v>
                </c:pt>
                <c:pt idx="15">
                  <c:v>26.163345397495323</c:v>
                </c:pt>
                <c:pt idx="16">
                  <c:v>10.183129853085664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Sheet3!$T$3</c:f>
              <c:strCache>
                <c:ptCount val="1"/>
                <c:pt idx="0">
                  <c:v>6,00 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Sheet3!$N$4:$N$20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Sheet3!$T$4:$T$20</c:f>
              <c:numCache>
                <c:formatCode>0.00\ "J/g"</c:formatCode>
                <c:ptCount val="17"/>
                <c:pt idx="0">
                  <c:v>146.58593783521204</c:v>
                </c:pt>
                <c:pt idx="1">
                  <c:v>144.83443692790547</c:v>
                </c:pt>
                <c:pt idx="2">
                  <c:v>142.96652048520869</c:v>
                </c:pt>
                <c:pt idx="3">
                  <c:v>140.9620094452755</c:v>
                </c:pt>
                <c:pt idx="4">
                  <c:v>138.79460415072825</c:v>
                </c:pt>
                <c:pt idx="5">
                  <c:v>136.42906965704091</c:v>
                </c:pt>
                <c:pt idx="6">
                  <c:v>133.81657470639374</c:v>
                </c:pt>
                <c:pt idx="7">
                  <c:v>130.88650346859609</c:v>
                </c:pt>
                <c:pt idx="8">
                  <c:v>127.53095167456115</c:v>
                </c:pt>
                <c:pt idx="9">
                  <c:v>123.57234067717835</c:v>
                </c:pt>
                <c:pt idx="10">
                  <c:v>118.68601022605856</c:v>
                </c:pt>
                <c:pt idx="11">
                  <c:v>112.17507339527333</c:v>
                </c:pt>
                <c:pt idx="12">
                  <c:v>102.08037575471664</c:v>
                </c:pt>
                <c:pt idx="13">
                  <c:v>80.29549139442328</c:v>
                </c:pt>
                <c:pt idx="14">
                  <c:v>42.207172836388303</c:v>
                </c:pt>
                <c:pt idx="15">
                  <c:v>21.262386447074295</c:v>
                </c:pt>
                <c:pt idx="16">
                  <c:v>9.0275950048100917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Sheet3!$U$3</c:f>
              <c:strCache>
                <c:ptCount val="1"/>
                <c:pt idx="0">
                  <c:v>8,00 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Sheet3!$N$4:$N$20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Sheet3!$U$4:$U$20</c:f>
              <c:numCache>
                <c:formatCode>0.00\ "J/g"</c:formatCode>
                <c:ptCount val="17"/>
                <c:pt idx="0">
                  <c:v>124.68933231380196</c:v>
                </c:pt>
                <c:pt idx="1">
                  <c:v>121.74476940792708</c:v>
                </c:pt>
                <c:pt idx="2">
                  <c:v>118.4789614289899</c:v>
                </c:pt>
                <c:pt idx="3">
                  <c:v>114.81213606349276</c:v>
                </c:pt>
                <c:pt idx="4">
                  <c:v>110.63557686584167</c:v>
                </c:pt>
                <c:pt idx="5">
                  <c:v>105.80062100246813</c:v>
                </c:pt>
                <c:pt idx="6">
                  <c:v>100.10822315929769</c:v>
                </c:pt>
                <c:pt idx="7">
                  <c:v>93.311893341365618</c:v>
                </c:pt>
                <c:pt idx="8">
                  <c:v>85.165550032724639</c:v>
                </c:pt>
                <c:pt idx="9">
                  <c:v>75.547801530529526</c:v>
                </c:pt>
                <c:pt idx="10">
                  <c:v>64.616932234801055</c:v>
                </c:pt>
                <c:pt idx="11">
                  <c:v>52.910495028118099</c:v>
                </c:pt>
                <c:pt idx="12">
                  <c:v>41.336637024719906</c:v>
                </c:pt>
                <c:pt idx="13">
                  <c:v>30.763590766988834</c:v>
                </c:pt>
                <c:pt idx="14">
                  <c:v>21.50816975672328</c:v>
                </c:pt>
                <c:pt idx="15">
                  <c:v>13.446751899796622</c:v>
                </c:pt>
                <c:pt idx="16">
                  <c:v>6.3442842087778626</c:v>
                </c:pt>
              </c:numCache>
            </c:numRef>
          </c:yVal>
          <c:smooth val="1"/>
        </c:ser>
        <c:axId val="184453376"/>
        <c:axId val="186586240"/>
      </c:scatterChart>
      <c:valAx>
        <c:axId val="184453376"/>
        <c:scaling>
          <c:orientation val="minMax"/>
        </c:scaling>
        <c:axPos val="b"/>
        <c:numFmt formatCode="0.00\ &quot;b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6586240"/>
        <c:crosses val="autoZero"/>
        <c:crossBetween val="midCat"/>
      </c:valAx>
      <c:valAx>
        <c:axId val="186586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\ &quot;J/g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44533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99876100505274"/>
          <c:y val="0.29370666079327501"/>
          <c:w val="0.9901112598737285"/>
          <c:h val="0.646854248114090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8320090805902395E-2"/>
          <c:y val="8.7412736650350709E-2"/>
          <c:w val="0.79909194097616343"/>
          <c:h val="0.76923208252308684"/>
        </c:manualLayout>
      </c:layout>
      <c:scatterChart>
        <c:scatterStyle val="smoothMarker"/>
        <c:ser>
          <c:idx val="0"/>
          <c:order val="0"/>
          <c:tx>
            <c:strRef>
              <c:f>Sheet3!$AC$3</c:f>
              <c:strCache>
                <c:ptCount val="1"/>
                <c:pt idx="0">
                  <c:v>4,00 K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Sheet3!$Z$4:$Z$20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Sheet3!$AC$4:$AC$20</c:f>
              <c:numCache>
                <c:formatCode>0.00\ "J/g"</c:formatCode>
                <c:ptCount val="17"/>
                <c:pt idx="0">
                  <c:v>2.5581919176099013</c:v>
                </c:pt>
                <c:pt idx="1">
                  <c:v>2.5951185552221787</c:v>
                </c:pt>
                <c:pt idx="2">
                  <c:v>2.6343965813312566</c:v>
                </c:pt>
                <c:pt idx="3">
                  <c:v>2.6763792224567537</c:v>
                </c:pt>
                <c:pt idx="4">
                  <c:v>2.72150471641078</c:v>
                </c:pt>
                <c:pt idx="5">
                  <c:v>2.7703249464549264</c:v>
                </c:pt>
                <c:pt idx="6">
                  <c:v>2.8235469280197294</c:v>
                </c:pt>
                <c:pt idx="7">
                  <c:v>2.8820946111192858</c:v>
                </c:pt>
                <c:pt idx="8">
                  <c:v>2.9472039698319192</c:v>
                </c:pt>
                <c:pt idx="9">
                  <c:v>3.0205749785934812</c:v>
                </c:pt>
                <c:pt idx="10">
                  <c:v>3.1046258033308765</c:v>
                </c:pt>
                <c:pt idx="11">
                  <c:v>3.2029421519420156</c:v>
                </c:pt>
                <c:pt idx="12">
                  <c:v>3.3211283731473267</c:v>
                </c:pt>
                <c:pt idx="13">
                  <c:v>3.4685689976608836</c:v>
                </c:pt>
                <c:pt idx="14">
                  <c:v>3.6625346300877784</c:v>
                </c:pt>
                <c:pt idx="15">
                  <c:v>3.9395157448097238</c:v>
                </c:pt>
                <c:pt idx="16">
                  <c:v>4.3960393931815709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Sheet3!$AD$3</c:f>
              <c:strCache>
                <c:ptCount val="1"/>
                <c:pt idx="0">
                  <c:v>4,50 K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Sheet3!$Z$4:$Z$20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Sheet3!$AD$4:$AD$20</c:f>
              <c:numCache>
                <c:formatCode>0.00\ "J/g"</c:formatCode>
                <c:ptCount val="17"/>
                <c:pt idx="0">
                  <c:v>2.8783758621890421</c:v>
                </c:pt>
                <c:pt idx="1">
                  <c:v>2.9226297259127469</c:v>
                </c:pt>
                <c:pt idx="2">
                  <c:v>2.9702663854865836</c:v>
                </c:pt>
                <c:pt idx="3">
                  <c:v>3.0218743835573534</c:v>
                </c:pt>
                <c:pt idx="4">
                  <c:v>3.0782035434886943</c:v>
                </c:pt>
                <c:pt idx="5">
                  <c:v>3.1402270698111421</c:v>
                </c:pt>
                <c:pt idx="6">
                  <c:v>3.2092357144609287</c:v>
                </c:pt>
                <c:pt idx="7">
                  <c:v>3.2869856360053218</c:v>
                </c:pt>
                <c:pt idx="8">
                  <c:v>3.3759403670461587</c:v>
                </c:pt>
                <c:pt idx="9">
                  <c:v>3.4796870123126733</c:v>
                </c:pt>
                <c:pt idx="10">
                  <c:v>3.6036973743845495</c:v>
                </c:pt>
                <c:pt idx="11">
                  <c:v>3.7568318688300386</c:v>
                </c:pt>
                <c:pt idx="12">
                  <c:v>3.9546276277613859</c:v>
                </c:pt>
                <c:pt idx="13">
                  <c:v>4.2275594843368038</c:v>
                </c:pt>
                <c:pt idx="14">
                  <c:v>4.6465347187863326</c:v>
                </c:pt>
                <c:pt idx="15">
                  <c:v>5.434299489029244</c:v>
                </c:pt>
                <c:pt idx="16">
                  <c:v>7.7101044020798621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Sheet3!$AE$3</c:f>
              <c:strCache>
                <c:ptCount val="1"/>
                <c:pt idx="0">
                  <c:v>5,00 K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Sheet3!$Z$4:$Z$20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Sheet3!$AE$4:$AE$20</c:f>
              <c:numCache>
                <c:formatCode>0.00\ "J/g"</c:formatCode>
                <c:ptCount val="17"/>
                <c:pt idx="0">
                  <c:v>3.1860847595020898</c:v>
                </c:pt>
                <c:pt idx="1">
                  <c:v>3.2401063906645504</c:v>
                </c:pt>
                <c:pt idx="2">
                  <c:v>3.299109675044436</c:v>
                </c:pt>
                <c:pt idx="3">
                  <c:v>3.3640924652482482</c:v>
                </c:pt>
                <c:pt idx="4">
                  <c:v>3.4363646008956561</c:v>
                </c:pt>
                <c:pt idx="5">
                  <c:v>3.5176858133582898</c:v>
                </c:pt>
                <c:pt idx="6">
                  <c:v>3.6104861614555372</c:v>
                </c:pt>
                <c:pt idx="7">
                  <c:v>3.7182343723895088</c:v>
                </c:pt>
                <c:pt idx="8">
                  <c:v>3.8460873473237829</c:v>
                </c:pt>
                <c:pt idx="9">
                  <c:v>4.0021144746548547</c:v>
                </c:pt>
                <c:pt idx="10">
                  <c:v>4.1998106034894027</c:v>
                </c:pt>
                <c:pt idx="11">
                  <c:v>4.463871094892661</c:v>
                </c:pt>
                <c:pt idx="12">
                  <c:v>4.8457427177281467</c:v>
                </c:pt>
                <c:pt idx="13">
                  <c:v>5.4770099081938453</c:v>
                </c:pt>
                <c:pt idx="14">
                  <c:v>6.8543855653034225</c:v>
                </c:pt>
                <c:pt idx="15">
                  <c:v>16.576321166976008</c:v>
                </c:pt>
                <c:pt idx="16">
                  <c:v>6.7353254852517956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Sheet3!$AF$3</c:f>
              <c:strCache>
                <c:ptCount val="1"/>
                <c:pt idx="0">
                  <c:v>5,50 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Sheet3!$Z$4:$Z$20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Sheet3!$AF$4:$AF$20</c:f>
              <c:numCache>
                <c:formatCode>0.00\ "J/g"</c:formatCode>
                <c:ptCount val="17"/>
                <c:pt idx="0">
                  <c:v>3.509349278216181</c:v>
                </c:pt>
                <c:pt idx="1">
                  <c:v>3.5765501051725792</c:v>
                </c:pt>
                <c:pt idx="2">
                  <c:v>3.651175373450156</c:v>
                </c:pt>
                <c:pt idx="3">
                  <c:v>3.7349309679980185</c:v>
                </c:pt>
                <c:pt idx="4">
                  <c:v>3.8301322277285195</c:v>
                </c:pt>
                <c:pt idx="5">
                  <c:v>3.9400140419017196</c:v>
                </c:pt>
                <c:pt idx="6">
                  <c:v>4.069256980646438</c:v>
                </c:pt>
                <c:pt idx="7">
                  <c:v>4.2249317001428057</c:v>
                </c:pt>
                <c:pt idx="8">
                  <c:v>4.4183177105663454</c:v>
                </c:pt>
                <c:pt idx="9">
                  <c:v>4.6687347014843441</c:v>
                </c:pt>
                <c:pt idx="10">
                  <c:v>5.0126430601490011</c:v>
                </c:pt>
                <c:pt idx="11">
                  <c:v>5.5292470640878788</c:v>
                </c:pt>
                <c:pt idx="12">
                  <c:v>6.4340974907455362</c:v>
                </c:pt>
                <c:pt idx="13">
                  <c:v>8.633916435083334</c:v>
                </c:pt>
                <c:pt idx="14">
                  <c:v>28.122672640736862</c:v>
                </c:pt>
                <c:pt idx="15">
                  <c:v>9.7391535228371282</c:v>
                </c:pt>
                <c:pt idx="16">
                  <c:v>6.2757759872617909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Sheet3!$AG$3</c:f>
              <c:strCache>
                <c:ptCount val="1"/>
                <c:pt idx="0">
                  <c:v>6,00 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Sheet3!$Z$4:$Z$20</c:f>
              <c:numCache>
                <c:formatCode>0.00\ "b"</c:formatCode>
                <c:ptCount val="1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</c:numCache>
            </c:numRef>
          </c:xVal>
          <c:yVal>
            <c:numRef>
              <c:f>Sheet3!$AG$4:$AG$20</c:f>
              <c:numCache>
                <c:formatCode>0.00\ "J/g"</c:formatCode>
                <c:ptCount val="17"/>
                <c:pt idx="0">
                  <c:v>3.8592477690515166</c:v>
                </c:pt>
                <c:pt idx="1">
                  <c:v>3.94418190586208</c:v>
                </c:pt>
                <c:pt idx="2">
                  <c:v>4.0402241083768544</c:v>
                </c:pt>
                <c:pt idx="3">
                  <c:v>4.1502846159070383</c:v>
                </c:pt>
                <c:pt idx="4">
                  <c:v>4.2784566778599684</c:v>
                </c:pt>
                <c:pt idx="5">
                  <c:v>4.4307055018711088</c:v>
                </c:pt>
                <c:pt idx="6">
                  <c:v>4.6161116410406118</c:v>
                </c:pt>
                <c:pt idx="7">
                  <c:v>4.8492761412909804</c:v>
                </c:pt>
                <c:pt idx="8">
                  <c:v>5.1554001974460206</c:v>
                </c:pt>
                <c:pt idx="9">
                  <c:v>5.5823208660751868</c:v>
                </c:pt>
                <c:pt idx="10">
                  <c:v>6.2338751079258286</c:v>
                </c:pt>
                <c:pt idx="11">
                  <c:v>7.385762930418001</c:v>
                </c:pt>
                <c:pt idx="12">
                  <c:v>10.042481795451954</c:v>
                </c:pt>
                <c:pt idx="13">
                  <c:v>17.88007583204072</c:v>
                </c:pt>
                <c:pt idx="14">
                  <c:v>13.83376059815183</c:v>
                </c:pt>
                <c:pt idx="15">
                  <c:v>7.7366929615390259</c:v>
                </c:pt>
                <c:pt idx="16">
                  <c:v>6.0109485268976481</c:v>
                </c:pt>
              </c:numCache>
            </c:numRef>
          </c:yVal>
          <c:smooth val="1"/>
        </c:ser>
        <c:axId val="261048192"/>
        <c:axId val="275263488"/>
      </c:scatterChart>
      <c:valAx>
        <c:axId val="261048192"/>
        <c:scaling>
          <c:orientation val="minMax"/>
        </c:scaling>
        <c:axPos val="b"/>
        <c:numFmt formatCode="0.00\ &quot;b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5263488"/>
        <c:crosses val="autoZero"/>
        <c:crossBetween val="midCat"/>
      </c:valAx>
      <c:valAx>
        <c:axId val="275263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\ &quot;J/g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10481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125993189557321"/>
          <c:y val="0.30419617128278548"/>
          <c:w val="0.9909194097616344"/>
          <c:h val="0.639861241121083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25"/>
      <c:hPercent val="100"/>
      <c:rotY val="30"/>
      <c:depthPercent val="100"/>
      <c:perspective val="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7314343845371322E-2"/>
          <c:y val="1.2755102040816327E-2"/>
          <c:w val="0.71515768056968465"/>
          <c:h val="0.80867346938775508"/>
        </c:manualLayout>
      </c:layout>
      <c:surface3DChart>
        <c:ser>
          <c:idx val="0"/>
          <c:order val="0"/>
          <c:tx>
            <c:strRef>
              <c:f>Sheet3!$F$52</c:f>
              <c:strCache>
                <c:ptCount val="1"/>
                <c:pt idx="0">
                  <c:v>3,00 K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Sheet3!$G$52:$W$52</c:f>
              <c:numCache>
                <c:formatCode>0.00\ "J/g"</c:formatCode>
                <c:ptCount val="17"/>
                <c:pt idx="0">
                  <c:v>2.4960082906945313</c:v>
                </c:pt>
                <c:pt idx="1">
                  <c:v>2.4385303931907525</c:v>
                </c:pt>
                <c:pt idx="2">
                  <c:v>2.3866551642183591</c:v>
                </c:pt>
                <c:pt idx="3">
                  <c:v>2.3393771966588295</c:v>
                </c:pt>
                <c:pt idx="4">
                  <c:v>2.2959392822497517</c:v>
                </c:pt>
                <c:pt idx="5">
                  <c:v>2.2557574482951326</c:v>
                </c:pt>
                <c:pt idx="6">
                  <c:v>2.2183721200630222</c:v>
                </c:pt>
                <c:pt idx="7">
                  <c:v>2.1834152577137624</c:v>
                </c:pt>
                <c:pt idx="8">
                  <c:v>2.1505876169283034</c:v>
                </c:pt>
                <c:pt idx="9">
                  <c:v>2.1196426272314244</c:v>
                </c:pt>
                <c:pt idx="10">
                  <c:v>2.0903747149775653</c:v>
                </c:pt>
                <c:pt idx="11">
                  <c:v>2.0626106837065414</c:v>
                </c:pt>
                <c:pt idx="12">
                  <c:v>2.0362032427325292</c:v>
                </c:pt>
                <c:pt idx="13">
                  <c:v>2.011026074134274</c:v>
                </c:pt>
                <c:pt idx="14">
                  <c:v>1.9869700204466898</c:v>
                </c:pt>
                <c:pt idx="15">
                  <c:v>1.9639401015095468</c:v>
                </c:pt>
                <c:pt idx="16">
                  <c:v>1.9418531534752408</c:v>
                </c:pt>
              </c:numCache>
            </c:numRef>
          </c:val>
        </c:ser>
        <c:ser>
          <c:idx val="1"/>
          <c:order val="1"/>
          <c:tx>
            <c:strRef>
              <c:f>Sheet3!$F$53</c:f>
              <c:strCache>
                <c:ptCount val="1"/>
                <c:pt idx="0">
                  <c:v>3,40 K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Sheet3!$G$53:$W$53</c:f>
              <c:numCache>
                <c:formatCode>0.00\ "J/g"</c:formatCode>
                <c:ptCount val="17"/>
                <c:pt idx="0">
                  <c:v>3.1081555003036097</c:v>
                </c:pt>
                <c:pt idx="1">
                  <c:v>3.0196227399108886</c:v>
                </c:pt>
                <c:pt idx="2">
                  <c:v>2.9433535156508994</c:v>
                </c:pt>
                <c:pt idx="3">
                  <c:v>2.876455333067935</c:v>
                </c:pt>
                <c:pt idx="4">
                  <c:v>2.8169260934082989</c:v>
                </c:pt>
                <c:pt idx="5">
                  <c:v>2.7633282253848046</c:v>
                </c:pt>
                <c:pt idx="6">
                  <c:v>2.7145979170318233</c:v>
                </c:pt>
                <c:pt idx="7">
                  <c:v>2.669927837423876</c:v>
                </c:pt>
                <c:pt idx="8">
                  <c:v>2.6286920444045641</c:v>
                </c:pt>
                <c:pt idx="9">
                  <c:v>2.5903962213999305</c:v>
                </c:pt>
                <c:pt idx="10">
                  <c:v>2.5546437132210458</c:v>
                </c:pt>
                <c:pt idx="11">
                  <c:v>2.5211117449554963</c:v>
                </c:pt>
                <c:pt idx="12">
                  <c:v>2.4895343941287988</c:v>
                </c:pt>
                <c:pt idx="13">
                  <c:v>2.4596901550828028</c:v>
                </c:pt>
                <c:pt idx="14">
                  <c:v>2.4313926960497008</c:v>
                </c:pt>
                <c:pt idx="15">
                  <c:v>2.4044838802326587</c:v>
                </c:pt>
                <c:pt idx="16">
                  <c:v>2.3788284210779498</c:v>
                </c:pt>
              </c:numCache>
            </c:numRef>
          </c:val>
        </c:ser>
        <c:ser>
          <c:idx val="2"/>
          <c:order val="2"/>
          <c:tx>
            <c:strRef>
              <c:f>Sheet3!$F$54</c:f>
              <c:strCache>
                <c:ptCount val="1"/>
                <c:pt idx="0">
                  <c:v>3,80 K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Sheet3!$G$54:$W$54</c:f>
              <c:numCache>
                <c:formatCode>0.00\ "J/g"</c:formatCode>
                <c:ptCount val="17"/>
                <c:pt idx="0">
                  <c:v>3.8740276185625828</c:v>
                </c:pt>
                <c:pt idx="1">
                  <c:v>3.7047554852947253</c:v>
                </c:pt>
                <c:pt idx="2">
                  <c:v>3.570219246792588</c:v>
                </c:pt>
                <c:pt idx="3">
                  <c:v>3.4593750403650154</c:v>
                </c:pt>
                <c:pt idx="4">
                  <c:v>3.3655677636944574</c:v>
                </c:pt>
                <c:pt idx="5">
                  <c:v>3.2845144029637114</c:v>
                </c:pt>
                <c:pt idx="6">
                  <c:v>3.2133154750065582</c:v>
                </c:pt>
                <c:pt idx="7">
                  <c:v>3.1499275998974019</c:v>
                </c:pt>
                <c:pt idx="8">
                  <c:v>3.0928628201927966</c:v>
                </c:pt>
                <c:pt idx="9">
                  <c:v>3.0410077821593369</c:v>
                </c:pt>
                <c:pt idx="10">
                  <c:v>2.9935101051126209</c:v>
                </c:pt>
                <c:pt idx="11">
                  <c:v>2.9497042863563867</c:v>
                </c:pt>
                <c:pt idx="12">
                  <c:v>2.9090618417054457</c:v>
                </c:pt>
                <c:pt idx="13">
                  <c:v>2.8711568314561586</c:v>
                </c:pt>
                <c:pt idx="14">
                  <c:v>2.835641453636299</c:v>
                </c:pt>
                <c:pt idx="15">
                  <c:v>2.8022284012954652</c:v>
                </c:pt>
                <c:pt idx="16">
                  <c:v>2.7706778717596063</c:v>
                </c:pt>
              </c:numCache>
            </c:numRef>
          </c:val>
        </c:ser>
        <c:ser>
          <c:idx val="3"/>
          <c:order val="3"/>
          <c:tx>
            <c:strRef>
              <c:f>Sheet3!$F$55</c:f>
              <c:strCache>
                <c:ptCount val="1"/>
                <c:pt idx="0">
                  <c:v>4,20 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Sheet3!$G$55:$W$55</c:f>
              <c:numCache>
                <c:formatCode>0.00\ "J/g"</c:formatCode>
                <c:ptCount val="17"/>
                <c:pt idx="0">
                  <c:v>5.1607890448673377</c:v>
                </c:pt>
                <c:pt idx="1">
                  <c:v>4.7003746208841042</c:v>
                </c:pt>
                <c:pt idx="2">
                  <c:v>4.394583538441764</c:v>
                </c:pt>
                <c:pt idx="3">
                  <c:v>4.1715118473550721</c:v>
                </c:pt>
                <c:pt idx="4">
                  <c:v>3.9987475453316992</c:v>
                </c:pt>
                <c:pt idx="5">
                  <c:v>3.859267884257525</c:v>
                </c:pt>
                <c:pt idx="6">
                  <c:v>3.7431679618868015</c:v>
                </c:pt>
                <c:pt idx="7">
                  <c:v>3.6442423734772031</c:v>
                </c:pt>
                <c:pt idx="8">
                  <c:v>3.558379541273625</c:v>
                </c:pt>
                <c:pt idx="9">
                  <c:v>3.4827327547428317</c:v>
                </c:pt>
                <c:pt idx="10">
                  <c:v>3.41525987282205</c:v>
                </c:pt>
                <c:pt idx="11">
                  <c:v>3.3544524498603945</c:v>
                </c:pt>
                <c:pt idx="12">
                  <c:v>3.2991685851354147</c:v>
                </c:pt>
                <c:pt idx="13">
                  <c:v>3.2485256156875586</c:v>
                </c:pt>
                <c:pt idx="14">
                  <c:v>3.2018288797809391</c:v>
                </c:pt>
                <c:pt idx="15">
                  <c:v>3.158523045980743</c:v>
                </c:pt>
                <c:pt idx="16">
                  <c:v>3.1181580188323843</c:v>
                </c:pt>
              </c:numCache>
            </c:numRef>
          </c:val>
        </c:ser>
        <c:ser>
          <c:idx val="4"/>
          <c:order val="4"/>
          <c:tx>
            <c:strRef>
              <c:f>Sheet3!$F$56</c:f>
              <c:strCache>
                <c:ptCount val="1"/>
                <c:pt idx="0">
                  <c:v>4,60 K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Sheet3!$G$56:$W$56</c:f>
              <c:numCache>
                <c:formatCode>0.00\ "J/g"</c:formatCode>
                <c:ptCount val="17"/>
                <c:pt idx="0">
                  <c:v>7.4361254273639492</c:v>
                </c:pt>
                <c:pt idx="1">
                  <c:v>7.2493968174041115</c:v>
                </c:pt>
                <c:pt idx="2">
                  <c:v>5.9837784623330359</c:v>
                </c:pt>
                <c:pt idx="3">
                  <c:v>5.336881893792075</c:v>
                </c:pt>
                <c:pt idx="4">
                  <c:v>4.9277022049139507</c:v>
                </c:pt>
                <c:pt idx="5">
                  <c:v>4.6385432411057828</c:v>
                </c:pt>
                <c:pt idx="6">
                  <c:v>4.4197046278348431</c:v>
                </c:pt>
                <c:pt idx="7">
                  <c:v>4.2461693618952223</c:v>
                </c:pt>
                <c:pt idx="8">
                  <c:v>4.1038169638613686</c:v>
                </c:pt>
                <c:pt idx="9">
                  <c:v>3.9840034025694337</c:v>
                </c:pt>
                <c:pt idx="10">
                  <c:v>3.8811056539016509</c:v>
                </c:pt>
                <c:pt idx="11">
                  <c:v>3.7912888015847757</c:v>
                </c:pt>
                <c:pt idx="12">
                  <c:v>3.7118364507038217</c:v>
                </c:pt>
                <c:pt idx="13">
                  <c:v>3.6407638030350116</c:v>
                </c:pt>
                <c:pt idx="14">
                  <c:v>3.5765825196427645</c:v>
                </c:pt>
                <c:pt idx="15">
                  <c:v>3.5181517307319412</c:v>
                </c:pt>
                <c:pt idx="16">
                  <c:v>3.4645802456812591</c:v>
                </c:pt>
              </c:numCache>
            </c:numRef>
          </c:val>
        </c:ser>
        <c:ser>
          <c:idx val="5"/>
          <c:order val="5"/>
          <c:tx>
            <c:strRef>
              <c:f>Sheet3!$F$57</c:f>
              <c:strCache>
                <c:ptCount val="1"/>
                <c:pt idx="0">
                  <c:v>5,00 K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Sheet3!$G$57:$W$57</c:f>
              <c:numCache>
                <c:formatCode>0.00\ "J/g"</c:formatCode>
                <c:ptCount val="17"/>
                <c:pt idx="0">
                  <c:v>6.7353254852517956</c:v>
                </c:pt>
                <c:pt idx="1">
                  <c:v>9.0077906714120246</c:v>
                </c:pt>
                <c:pt idx="2">
                  <c:v>16.576321166976044</c:v>
                </c:pt>
                <c:pt idx="3">
                  <c:v>8.6218740870293082</c:v>
                </c:pt>
                <c:pt idx="4">
                  <c:v>6.8543855653034402</c:v>
                </c:pt>
                <c:pt idx="5">
                  <c:v>6.0003402129179841</c:v>
                </c:pt>
                <c:pt idx="6">
                  <c:v>5.4770099081938461</c:v>
                </c:pt>
                <c:pt idx="7">
                  <c:v>5.1151411556860138</c:v>
                </c:pt>
                <c:pt idx="8">
                  <c:v>4.8457427177281476</c:v>
                </c:pt>
                <c:pt idx="9">
                  <c:v>4.6349163864192207</c:v>
                </c:pt>
                <c:pt idx="10">
                  <c:v>4.4638710948926548</c:v>
                </c:pt>
                <c:pt idx="11">
                  <c:v>4.3212663535937823</c:v>
                </c:pt>
                <c:pt idx="12">
                  <c:v>4.1998106034894063</c:v>
                </c:pt>
                <c:pt idx="13">
                  <c:v>4.0945795554797666</c:v>
                </c:pt>
                <c:pt idx="14">
                  <c:v>4.0021144746548565</c:v>
                </c:pt>
                <c:pt idx="15">
                  <c:v>3.9199067119129265</c:v>
                </c:pt>
                <c:pt idx="16">
                  <c:v>3.8460873473237878</c:v>
                </c:pt>
              </c:numCache>
            </c:numRef>
          </c:val>
        </c:ser>
        <c:ser>
          <c:idx val="6"/>
          <c:order val="6"/>
          <c:tx>
            <c:strRef>
              <c:f>Sheet3!$F$58</c:f>
              <c:strCache>
                <c:ptCount val="1"/>
                <c:pt idx="0">
                  <c:v>5,40 K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Sheet3!$G$58:$W$58</c:f>
              <c:numCache>
                <c:formatCode>0.00\ "J/g"</c:formatCode>
                <c:ptCount val="17"/>
                <c:pt idx="0">
                  <c:v>6.347006827094992</c:v>
                </c:pt>
                <c:pt idx="1">
                  <c:v>7.5546207376765286</c:v>
                </c:pt>
                <c:pt idx="2">
                  <c:v>10.610491866512985</c:v>
                </c:pt>
                <c:pt idx="3">
                  <c:v>36.60069604345523</c:v>
                </c:pt>
                <c:pt idx="4">
                  <c:v>16.696633047810511</c:v>
                </c:pt>
                <c:pt idx="5">
                  <c:v>9.6863789443616053</c:v>
                </c:pt>
                <c:pt idx="6">
                  <c:v>7.651727032021423</c:v>
                </c:pt>
                <c:pt idx="7">
                  <c:v>6.6399003035552138</c:v>
                </c:pt>
                <c:pt idx="8">
                  <c:v>6.0179831612823413</c:v>
                </c:pt>
                <c:pt idx="9">
                  <c:v>5.5892900451264635</c:v>
                </c:pt>
                <c:pt idx="10">
                  <c:v>5.2717192858222335</c:v>
                </c:pt>
                <c:pt idx="11">
                  <c:v>5.0245384916621552</c:v>
                </c:pt>
                <c:pt idx="12">
                  <c:v>4.8250830619878196</c:v>
                </c:pt>
                <c:pt idx="13">
                  <c:v>4.6596622266373</c:v>
                </c:pt>
                <c:pt idx="14">
                  <c:v>4.5194782030560932</c:v>
                </c:pt>
                <c:pt idx="15">
                  <c:v>4.3985975400963211</c:v>
                </c:pt>
                <c:pt idx="16">
                  <c:v>4.2928601386488197</c:v>
                </c:pt>
              </c:numCache>
            </c:numRef>
          </c:val>
        </c:ser>
        <c:ser>
          <c:idx val="7"/>
          <c:order val="7"/>
          <c:tx>
            <c:strRef>
              <c:f>Sheet3!$F$59</c:f>
              <c:strCache>
                <c:ptCount val="1"/>
                <c:pt idx="0">
                  <c:v>5,80 K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Sheet3!$G$59:$W$59</c:f>
              <c:numCache>
                <c:formatCode>0.00\ "J/g"</c:formatCode>
                <c:ptCount val="17"/>
                <c:pt idx="0">
                  <c:v>6.1018917687793621</c:v>
                </c:pt>
                <c:pt idx="1">
                  <c:v>6.8905931721158602</c:v>
                </c:pt>
                <c:pt idx="2">
                  <c:v>8.28033183507514</c:v>
                </c:pt>
                <c:pt idx="3">
                  <c:v>11.391003044512111</c:v>
                </c:pt>
                <c:pt idx="4">
                  <c:v>19.966292344636202</c:v>
                </c:pt>
                <c:pt idx="5">
                  <c:v>22.864808450664022</c:v>
                </c:pt>
                <c:pt idx="6">
                  <c:v>14.170647980104478</c:v>
                </c:pt>
                <c:pt idx="7">
                  <c:v>10.076543543345601</c:v>
                </c:pt>
                <c:pt idx="8">
                  <c:v>8.218912793858312</c:v>
                </c:pt>
                <c:pt idx="9">
                  <c:v>7.1770387148281003</c:v>
                </c:pt>
                <c:pt idx="10">
                  <c:v>6.5059493720554888</c:v>
                </c:pt>
                <c:pt idx="11">
                  <c:v>6.0333489552457653</c:v>
                </c:pt>
                <c:pt idx="12">
                  <c:v>5.6795839936530799</c:v>
                </c:pt>
                <c:pt idx="13">
                  <c:v>5.4028562206138986</c:v>
                </c:pt>
                <c:pt idx="14">
                  <c:v>5.1791035518710062</c:v>
                </c:pt>
                <c:pt idx="15">
                  <c:v>4.9934683898817998</c:v>
                </c:pt>
                <c:pt idx="16">
                  <c:v>4.8362607358113623</c:v>
                </c:pt>
              </c:numCache>
            </c:numRef>
          </c:val>
        </c:ser>
        <c:ser>
          <c:idx val="8"/>
          <c:order val="8"/>
          <c:tx>
            <c:strRef>
              <c:f>Sheet3!$F$60</c:f>
              <c:strCache>
                <c:ptCount val="1"/>
                <c:pt idx="0">
                  <c:v>6,20 K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Sheet3!$G$60:$W$60</c:f>
              <c:numCache>
                <c:formatCode>0.00\ "J/g"</c:formatCode>
                <c:ptCount val="17"/>
                <c:pt idx="0">
                  <c:v>5.9346445494565909</c:v>
                </c:pt>
                <c:pt idx="1">
                  <c:v>6.5048903789701304</c:v>
                </c:pt>
                <c:pt idx="2">
                  <c:v>7.3524747941726689</c:v>
                </c:pt>
                <c:pt idx="3">
                  <c:v>8.7400548103993554</c:v>
                </c:pt>
                <c:pt idx="4">
                  <c:v>11.196022001151183</c:v>
                </c:pt>
                <c:pt idx="5">
                  <c:v>14.912270902454171</c:v>
                </c:pt>
                <c:pt idx="6">
                  <c:v>16.822881366181832</c:v>
                </c:pt>
                <c:pt idx="7">
                  <c:v>15.145004066791214</c:v>
                </c:pt>
                <c:pt idx="8">
                  <c:v>12.157092363859743</c:v>
                </c:pt>
                <c:pt idx="9">
                  <c:v>9.9128662580212605</c:v>
                </c:pt>
                <c:pt idx="10">
                  <c:v>8.4859211899108278</c:v>
                </c:pt>
                <c:pt idx="11">
                  <c:v>7.5492390803045355</c:v>
                </c:pt>
                <c:pt idx="12">
                  <c:v>6.8960095911237298</c:v>
                </c:pt>
                <c:pt idx="13">
                  <c:v>6.4152872322660519</c:v>
                </c:pt>
                <c:pt idx="14">
                  <c:v>6.0459277997678509</c:v>
                </c:pt>
                <c:pt idx="15">
                  <c:v>5.7522812914516326</c:v>
                </c:pt>
                <c:pt idx="16">
                  <c:v>5.512378672457154</c:v>
                </c:pt>
              </c:numCache>
            </c:numRef>
          </c:val>
        </c:ser>
        <c:ser>
          <c:idx val="9"/>
          <c:order val="9"/>
          <c:tx>
            <c:strRef>
              <c:f>Sheet3!$F$61</c:f>
              <c:strCache>
                <c:ptCount val="1"/>
                <c:pt idx="0">
                  <c:v>6,60 K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Sheet3!$G$61:$W$61</c:f>
              <c:numCache>
                <c:formatCode>0.00\ "J/g"</c:formatCode>
                <c:ptCount val="17"/>
                <c:pt idx="0">
                  <c:v>5.8142162783199201</c:v>
                </c:pt>
                <c:pt idx="1">
                  <c:v>6.2528392685972376</c:v>
                </c:pt>
                <c:pt idx="2">
                  <c:v>6.8426200404756461</c:v>
                </c:pt>
                <c:pt idx="3">
                  <c:v>7.6746744427441485</c:v>
                </c:pt>
                <c:pt idx="4">
                  <c:v>8.8864387249097767</c:v>
                </c:pt>
                <c:pt idx="5">
                  <c:v>10.586849504309845</c:v>
                </c:pt>
                <c:pt idx="6">
                  <c:v>12.458580778934076</c:v>
                </c:pt>
                <c:pt idx="7">
                  <c:v>13.507021723752684</c:v>
                </c:pt>
                <c:pt idx="8">
                  <c:v>13.314832040737416</c:v>
                </c:pt>
                <c:pt idx="9">
                  <c:v>12.235429470925402</c:v>
                </c:pt>
                <c:pt idx="10">
                  <c:v>10.810990546012613</c:v>
                </c:pt>
                <c:pt idx="11">
                  <c:v>9.5196288039092565</c:v>
                </c:pt>
                <c:pt idx="12">
                  <c:v>8.50950096923758</c:v>
                </c:pt>
                <c:pt idx="13">
                  <c:v>7.7464594547550787</c:v>
                </c:pt>
                <c:pt idx="14">
                  <c:v>7.1649758937776342</c:v>
                </c:pt>
                <c:pt idx="15">
                  <c:v>6.7120300950017517</c:v>
                </c:pt>
                <c:pt idx="16">
                  <c:v>6.3506890681817216</c:v>
                </c:pt>
              </c:numCache>
            </c:numRef>
          </c:val>
        </c:ser>
        <c:ser>
          <c:idx val="10"/>
          <c:order val="10"/>
          <c:tx>
            <c:strRef>
              <c:f>Sheet3!$F$62</c:f>
              <c:strCache>
                <c:ptCount val="1"/>
                <c:pt idx="0">
                  <c:v>7,00 K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Sheet3!$G$62:$W$62</c:f>
              <c:numCache>
                <c:formatCode>0.00\ "J/g"</c:formatCode>
                <c:ptCount val="17"/>
                <c:pt idx="0">
                  <c:v>5.7239268848684235</c:v>
                </c:pt>
                <c:pt idx="1">
                  <c:v>6.075789889309025</c:v>
                </c:pt>
                <c:pt idx="2">
                  <c:v>6.518650656420375</c:v>
                </c:pt>
                <c:pt idx="3">
                  <c:v>7.0910059518225044</c:v>
                </c:pt>
                <c:pt idx="4">
                  <c:v>7.8413097103160005</c:v>
                </c:pt>
                <c:pt idx="5">
                  <c:v>8.8074877780627752</c:v>
                </c:pt>
                <c:pt idx="6">
                  <c:v>9.9438904164059494</c:v>
                </c:pt>
                <c:pt idx="7">
                  <c:v>11.008494459473972</c:v>
                </c:pt>
                <c:pt idx="8">
                  <c:v>11.647407039340925</c:v>
                </c:pt>
                <c:pt idx="9">
                  <c:v>11.733482017579243</c:v>
                </c:pt>
                <c:pt idx="10">
                  <c:v>11.371170873399986</c:v>
                </c:pt>
                <c:pt idx="11">
                  <c:v>10.702349788004309</c:v>
                </c:pt>
                <c:pt idx="12">
                  <c:v>9.8929682357862152</c:v>
                </c:pt>
                <c:pt idx="13">
                  <c:v>9.0960542315813804</c:v>
                </c:pt>
                <c:pt idx="14">
                  <c:v>8.3935584795930218</c:v>
                </c:pt>
                <c:pt idx="15">
                  <c:v>7.8045741349292408</c:v>
                </c:pt>
                <c:pt idx="16">
                  <c:v>7.3186928356741321</c:v>
                </c:pt>
              </c:numCache>
            </c:numRef>
          </c:val>
        </c:ser>
        <c:ser>
          <c:idx val="11"/>
          <c:order val="11"/>
          <c:tx>
            <c:strRef>
              <c:f>Sheet3!$F$63</c:f>
              <c:strCache>
                <c:ptCount val="1"/>
                <c:pt idx="0">
                  <c:v>7,40 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Sheet3!$G$63:$W$63</c:f>
              <c:numCache>
                <c:formatCode>0.00\ "J/g"</c:formatCode>
                <c:ptCount val="17"/>
                <c:pt idx="0">
                  <c:v>5.6540475969701518</c:v>
                </c:pt>
                <c:pt idx="1">
                  <c:v>5.94505363840379</c:v>
                </c:pt>
                <c:pt idx="2">
                  <c:v>6.29459768210058</c:v>
                </c:pt>
                <c:pt idx="3">
                  <c:v>6.7210097807387532</c:v>
                </c:pt>
                <c:pt idx="4">
                  <c:v>7.2445451032216415</c:v>
                </c:pt>
                <c:pt idx="5">
                  <c:v>7.879745636237768</c:v>
                </c:pt>
                <c:pt idx="6">
                  <c:v>8.6158269607330471</c:v>
                </c:pt>
                <c:pt idx="7">
                  <c:v>9.3850189007864007</c:v>
                </c:pt>
                <c:pt idx="8">
                  <c:v>10.051413253522712</c:v>
                </c:pt>
                <c:pt idx="9">
                  <c:v>10.476312164598744</c:v>
                </c:pt>
                <c:pt idx="10">
                  <c:v>10.612735203457932</c:v>
                </c:pt>
                <c:pt idx="11">
                  <c:v>10.499166231379698</c:v>
                </c:pt>
                <c:pt idx="12">
                  <c:v>10.193228997910065</c:v>
                </c:pt>
                <c:pt idx="13">
                  <c:v>9.7521101808358548</c:v>
                </c:pt>
                <c:pt idx="14">
                  <c:v>9.2392453578923011</c:v>
                </c:pt>
                <c:pt idx="15">
                  <c:v>8.7145100709550842</c:v>
                </c:pt>
                <c:pt idx="16">
                  <c:v>8.2192411838408326</c:v>
                </c:pt>
              </c:numCache>
            </c:numRef>
          </c:val>
        </c:ser>
        <c:ser>
          <c:idx val="12"/>
          <c:order val="12"/>
          <c:tx>
            <c:strRef>
              <c:f>Sheet3!$F$64</c:f>
              <c:strCache>
                <c:ptCount val="1"/>
                <c:pt idx="0">
                  <c:v>7,80 K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Sheet3!$G$64:$W$64</c:f>
              <c:numCache>
                <c:formatCode>0.00\ "J/g"</c:formatCode>
                <c:ptCount val="17"/>
                <c:pt idx="0">
                  <c:v>5.5985525122917794</c:v>
                </c:pt>
                <c:pt idx="1">
                  <c:v>5.8448594709678527</c:v>
                </c:pt>
                <c:pt idx="2">
                  <c:v>6.1306475335003245</c:v>
                </c:pt>
                <c:pt idx="3">
                  <c:v>6.4653615090355894</c:v>
                </c:pt>
                <c:pt idx="4">
                  <c:v>6.858403607735136</c:v>
                </c:pt>
                <c:pt idx="5">
                  <c:v>7.3158042689816591</c:v>
                </c:pt>
                <c:pt idx="6">
                  <c:v>7.8334534747831421</c:v>
                </c:pt>
                <c:pt idx="7">
                  <c:v>8.3869395929566366</c:v>
                </c:pt>
                <c:pt idx="8">
                  <c:v>8.9239521811750766</c:v>
                </c:pt>
                <c:pt idx="9">
                  <c:v>9.3730800480159395</c:v>
                </c:pt>
                <c:pt idx="10">
                  <c:v>9.6747110512596084</c:v>
                </c:pt>
                <c:pt idx="11">
                  <c:v>9.808982745152198</c:v>
                </c:pt>
                <c:pt idx="12">
                  <c:v>9.7916245794534245</c:v>
                </c:pt>
                <c:pt idx="13">
                  <c:v>9.6505437797952744</c:v>
                </c:pt>
                <c:pt idx="14">
                  <c:v>9.4126457768409857</c:v>
                </c:pt>
                <c:pt idx="15">
                  <c:v>9.1045896947667586</c:v>
                </c:pt>
                <c:pt idx="16">
                  <c:v>8.7547021534070986</c:v>
                </c:pt>
              </c:numCache>
            </c:numRef>
          </c:val>
        </c:ser>
        <c:ser>
          <c:idx val="13"/>
          <c:order val="13"/>
          <c:tx>
            <c:strRef>
              <c:f>Sheet3!$F$65</c:f>
              <c:strCache>
                <c:ptCount val="1"/>
                <c:pt idx="0">
                  <c:v>8,20 K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Sheet3!$G$65:$W$65</c:f>
              <c:numCache>
                <c:formatCode>0.00\ "J/g"</c:formatCode>
                <c:ptCount val="17"/>
                <c:pt idx="0">
                  <c:v>5.553530832477402</c:v>
                </c:pt>
                <c:pt idx="1">
                  <c:v>5.7658131897391049</c:v>
                </c:pt>
                <c:pt idx="2">
                  <c:v>6.0056792182100249</c:v>
                </c:pt>
                <c:pt idx="3">
                  <c:v>6.2782662674658836</c:v>
                </c:pt>
                <c:pt idx="4">
                  <c:v>6.5882364931262227</c:v>
                </c:pt>
                <c:pt idx="5">
                  <c:v>6.9381747959394477</c:v>
                </c:pt>
                <c:pt idx="6">
                  <c:v>7.3258346676774515</c:v>
                </c:pt>
                <c:pt idx="7">
                  <c:v>7.7403416176775144</c:v>
                </c:pt>
                <c:pt idx="8">
                  <c:v>8.1588461728721562</c:v>
                </c:pt>
                <c:pt idx="9">
                  <c:v>8.5471416011295815</c:v>
                </c:pt>
                <c:pt idx="10">
                  <c:v>8.8676688235003542</c:v>
                </c:pt>
                <c:pt idx="11">
                  <c:v>9.0926241186366354</c:v>
                </c:pt>
                <c:pt idx="12">
                  <c:v>9.2127414841390287</c:v>
                </c:pt>
                <c:pt idx="13">
                  <c:v>9.2350401836434344</c:v>
                </c:pt>
                <c:pt idx="14">
                  <c:v>9.1739141575106249</c:v>
                </c:pt>
                <c:pt idx="15">
                  <c:v>9.0442980090417038</c:v>
                </c:pt>
                <c:pt idx="16">
                  <c:v>8.860053835121974</c:v>
                </c:pt>
              </c:numCache>
            </c:numRef>
          </c:val>
        </c:ser>
        <c:ser>
          <c:idx val="14"/>
          <c:order val="14"/>
          <c:tx>
            <c:strRef>
              <c:f>Sheet3!$F$66</c:f>
              <c:strCache>
                <c:ptCount val="1"/>
                <c:pt idx="0">
                  <c:v>8,60 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Sheet3!$G$66:$W$66</c:f>
              <c:numCache>
                <c:formatCode>0.00\ "J/g"</c:formatCode>
                <c:ptCount val="17"/>
                <c:pt idx="0">
                  <c:v>5.5163464648988798</c:v>
                </c:pt>
                <c:pt idx="1">
                  <c:v>5.7019783058296918</c:v>
                </c:pt>
                <c:pt idx="2">
                  <c:v>5.9074106167971063</c:v>
                </c:pt>
                <c:pt idx="3">
                  <c:v>6.135543126282494</c:v>
                </c:pt>
                <c:pt idx="4">
                  <c:v>6.3887790168272671</c:v>
                </c:pt>
                <c:pt idx="5">
                  <c:v>6.6681972259736</c:v>
                </c:pt>
                <c:pt idx="6">
                  <c:v>6.9722963436390124</c:v>
                </c:pt>
                <c:pt idx="7">
                  <c:v>7.2953921206227541</c:v>
                </c:pt>
                <c:pt idx="8">
                  <c:v>7.6261453771736463</c:v>
                </c:pt>
                <c:pt idx="9">
                  <c:v>7.9472566020269859</c:v>
                </c:pt>
                <c:pt idx="10">
                  <c:v>8.2375718800175655</c:v>
                </c:pt>
                <c:pt idx="11">
                  <c:v>8.4768371888623761</c:v>
                </c:pt>
                <c:pt idx="12">
                  <c:v>8.6511466090640265</c:v>
                </c:pt>
                <c:pt idx="13">
                  <c:v>8.7558453121588737</c:v>
                </c:pt>
                <c:pt idx="14">
                  <c:v>8.7943340380099109</c:v>
                </c:pt>
                <c:pt idx="15">
                  <c:v>8.7743811869405715</c:v>
                </c:pt>
                <c:pt idx="16">
                  <c:v>8.7047754544023057</c:v>
                </c:pt>
              </c:numCache>
            </c:numRef>
          </c:val>
        </c:ser>
        <c:ser>
          <c:idx val="15"/>
          <c:order val="15"/>
          <c:tx>
            <c:strRef>
              <c:f>Sheet3!$F$67</c:f>
              <c:strCache>
                <c:ptCount val="1"/>
                <c:pt idx="0">
                  <c:v>9,00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Sheet3!$G$67:$W$67</c:f>
              <c:numCache>
                <c:formatCode>0.00\ "J/g"</c:formatCode>
                <c:ptCount val="17"/>
                <c:pt idx="0">
                  <c:v>5.4851653079591607</c:v>
                </c:pt>
                <c:pt idx="1">
                  <c:v>5.649427422345477</c:v>
                </c:pt>
                <c:pt idx="2">
                  <c:v>5.8282078919835039</c:v>
                </c:pt>
                <c:pt idx="3">
                  <c:v>6.0231826177151371</c:v>
                </c:pt>
                <c:pt idx="4">
                  <c:v>6.235609512755202</c:v>
                </c:pt>
                <c:pt idx="5">
                  <c:v>6.4658769222254877</c:v>
                </c:pt>
                <c:pt idx="6">
                  <c:v>6.7128810030598354</c:v>
                </c:pt>
                <c:pt idx="7">
                  <c:v>6.973282639784574</c:v>
                </c:pt>
                <c:pt idx="8">
                  <c:v>7.2408250112835191</c:v>
                </c:pt>
                <c:pt idx="9">
                  <c:v>7.5060654902235866</c:v>
                </c:pt>
                <c:pt idx="10">
                  <c:v>7.7569711724314079</c:v>
                </c:pt>
                <c:pt idx="11">
                  <c:v>7.9806325612134987</c:v>
                </c:pt>
                <c:pt idx="12">
                  <c:v>8.1657632118718233</c:v>
                </c:pt>
                <c:pt idx="13">
                  <c:v>8.3049877473487719</c:v>
                </c:pt>
                <c:pt idx="14">
                  <c:v>8.3958321237042313</c:v>
                </c:pt>
                <c:pt idx="15">
                  <c:v>8.4400761755563067</c:v>
                </c:pt>
                <c:pt idx="16">
                  <c:v>8.442100958429231</c:v>
                </c:pt>
              </c:numCache>
            </c:numRef>
          </c:val>
        </c:ser>
        <c:ser>
          <c:idx val="16"/>
          <c:order val="16"/>
          <c:tx>
            <c:strRef>
              <c:f>Sheet3!$F$68</c:f>
              <c:strCache>
                <c:ptCount val="1"/>
                <c:pt idx="0">
                  <c:v>9,40 K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Sheet3!$G$51:$W$51</c:f>
              <c:numCache>
                <c:formatCode>0.00\ "b"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Sheet3!$G$68:$W$68</c:f>
              <c:numCache>
                <c:formatCode>0.00\ "J/g"</c:formatCode>
                <c:ptCount val="17"/>
                <c:pt idx="0">
                  <c:v>5.4586761666395924</c:v>
                </c:pt>
                <c:pt idx="1">
                  <c:v>5.6054645261185678</c:v>
                </c:pt>
                <c:pt idx="2">
                  <c:v>5.7630790411296973</c:v>
                </c:pt>
                <c:pt idx="3">
                  <c:v>5.9324997080607718</c:v>
                </c:pt>
                <c:pt idx="4">
                  <c:v>6.1143778615376849</c:v>
                </c:pt>
                <c:pt idx="5">
                  <c:v>6.3087788309684205</c:v>
                </c:pt>
                <c:pt idx="6">
                  <c:v>6.514853133315798</c:v>
                </c:pt>
                <c:pt idx="7">
                  <c:v>6.7304658044792891</c:v>
                </c:pt>
                <c:pt idx="8">
                  <c:v>6.9518615674535278</c:v>
                </c:pt>
                <c:pt idx="9">
                  <c:v>7.1735022499523504</c:v>
                </c:pt>
                <c:pt idx="10">
                  <c:v>7.388249674038085</c:v>
                </c:pt>
                <c:pt idx="11">
                  <c:v>7.5880238299249854</c:v>
                </c:pt>
                <c:pt idx="12">
                  <c:v>7.7649014314073659</c:v>
                </c:pt>
                <c:pt idx="13">
                  <c:v>7.9123764835879369</c:v>
                </c:pt>
                <c:pt idx="14">
                  <c:v>8.0263409359457558</c:v>
                </c:pt>
                <c:pt idx="15">
                  <c:v>8.1054222382620527</c:v>
                </c:pt>
                <c:pt idx="16">
                  <c:v>8.1506216560006912</c:v>
                </c:pt>
              </c:numCache>
            </c:numRef>
          </c:val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24809472"/>
        <c:axId val="324811008"/>
        <c:axId val="225172544"/>
      </c:surface3DChart>
      <c:catAx>
        <c:axId val="324809472"/>
        <c:scaling>
          <c:orientation val="minMax"/>
        </c:scaling>
        <c:axPos val="b"/>
        <c:numFmt formatCode="0.00\ &quot;b&quot;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811008"/>
        <c:crosses val="autoZero"/>
        <c:auto val="1"/>
        <c:lblAlgn val="ctr"/>
        <c:lblOffset val="100"/>
        <c:tickLblSkip val="3"/>
        <c:tickMarkSkip val="1"/>
        <c:noMultiLvlLbl val="1"/>
      </c:catAx>
      <c:valAx>
        <c:axId val="324811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\ &quot;J/g&quot;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809472"/>
        <c:crosses val="autoZero"/>
        <c:crossBetween val="midCat"/>
      </c:valAx>
      <c:serAx>
        <c:axId val="2251725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4811008"/>
        <c:crosses val="autoZero"/>
        <c:tickLblSkip val="6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89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 rtl="0">
              <a:defRPr sz="89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wMode val="edge"/>
          <c:hMode val="edge"/>
          <c:x val="0.86164801627670418"/>
          <c:y val="0.28061224489795922"/>
          <c:w val="0.99389623601220767"/>
          <c:h val="0.711734693877550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7127071823204418"/>
          <c:y val="8.0128455930914264E-2"/>
          <c:w val="0.76519337016574585"/>
          <c:h val="0.71795096514099166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Turbines!$B$51:$B$81</c:f>
              <c:numCache>
                <c:formatCode>General</c:formatCode>
                <c:ptCount val="3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</c:numCache>
            </c:numRef>
          </c:xVal>
          <c:yVal>
            <c:numRef>
              <c:f>Turbines!$C$51:$C$81</c:f>
              <c:numCache>
                <c:formatCode>0.00%</c:formatCode>
                <c:ptCount val="31"/>
                <c:pt idx="0" formatCode="General">
                  <c:v>0</c:v>
                </c:pt>
                <c:pt idx="1">
                  <c:v>3.7793842502552556E-2</c:v>
                </c:pt>
                <c:pt idx="2">
                  <c:v>7.964314803197059E-2</c:v>
                </c:pt>
                <c:pt idx="3">
                  <c:v>0.12469554087690531</c:v>
                </c:pt>
                <c:pt idx="4">
                  <c:v>0.17213480159998779</c:v>
                </c:pt>
                <c:pt idx="5">
                  <c:v>0.22118086703782905</c:v>
                </c:pt>
                <c:pt idx="6">
                  <c:v>0.27108983030102002</c:v>
                </c:pt>
                <c:pt idx="7">
                  <c:v>0.32115394077413151</c:v>
                </c:pt>
                <c:pt idx="8">
                  <c:v>0.37070160411571434</c:v>
                </c:pt>
                <c:pt idx="9">
                  <c:v>0.41909738225829907</c:v>
                </c:pt>
                <c:pt idx="10">
                  <c:v>0.46574199340839634</c:v>
                </c:pt>
                <c:pt idx="11">
                  <c:v>0.5100723120464965</c:v>
                </c:pt>
                <c:pt idx="12">
                  <c:v>0.55156136892707008</c:v>
                </c:pt>
                <c:pt idx="13">
                  <c:v>0.58971835107856729</c:v>
                </c:pt>
                <c:pt idx="14">
                  <c:v>0.62408860180341841</c:v>
                </c:pt>
                <c:pt idx="15">
                  <c:v>0.65425362067803339</c:v>
                </c:pt>
                <c:pt idx="16">
                  <c:v>0.67983106355280232</c:v>
                </c:pt>
                <c:pt idx="17">
                  <c:v>0.70047474255209508</c:v>
                </c:pt>
                <c:pt idx="18">
                  <c:v>0.71587462607426167</c:v>
                </c:pt>
                <c:pt idx="19">
                  <c:v>0.72575683879163178</c:v>
                </c:pt>
                <c:pt idx="20">
                  <c:v>0.7298836616505151</c:v>
                </c:pt>
                <c:pt idx="21">
                  <c:v>0.72805353187120092</c:v>
                </c:pt>
                <c:pt idx="22">
                  <c:v>0.72010104294795907</c:v>
                </c:pt>
                <c:pt idx="23">
                  <c:v>0.70589694464903885</c:v>
                </c:pt>
                <c:pt idx="24">
                  <c:v>0.68534814301666902</c:v>
                </c:pt>
                <c:pt idx="25">
                  <c:v>0.6583977003670598</c:v>
                </c:pt>
                <c:pt idx="26">
                  <c:v>0.62502483529039965</c:v>
                </c:pt>
                <c:pt idx="27">
                  <c:v>0.58524492265085759</c:v>
                </c:pt>
                <c:pt idx="28">
                  <c:v>0.53910949358658278</c:v>
                </c:pt>
                <c:pt idx="29">
                  <c:v>0.48670623550970399</c:v>
                </c:pt>
                <c:pt idx="30">
                  <c:v>0.42815899210633013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Turbines!$F$29</c:f>
              <c:numCache>
                <c:formatCode>0.00%</c:formatCode>
                <c:ptCount val="1"/>
                <c:pt idx="0">
                  <c:v>0.85299608000592964</c:v>
                </c:pt>
              </c:numCache>
            </c:numRef>
          </c:xVal>
          <c:yVal>
            <c:numRef>
              <c:f>Turbines!$F$30</c:f>
              <c:numCache>
                <c:formatCode>0.00%</c:formatCode>
                <c:ptCount val="1"/>
                <c:pt idx="0">
                  <c:v>0.70310666559867141</c:v>
                </c:pt>
              </c:numCache>
            </c:numRef>
          </c:yVal>
          <c:smooth val="1"/>
        </c:ser>
        <c:axId val="77484416"/>
        <c:axId val="77486720"/>
      </c:scatterChart>
      <c:valAx>
        <c:axId val="77484416"/>
        <c:scaling>
          <c:orientation val="minMax"/>
          <c:max val="1.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U1/C0 / U1/C0 nom</a:t>
                </a:r>
              </a:p>
            </c:rich>
          </c:tx>
          <c:layout>
            <c:manualLayout>
              <c:xMode val="edge"/>
              <c:yMode val="edge"/>
              <c:x val="0.41436464088397795"/>
              <c:y val="0.884618076586580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486720"/>
        <c:crosses val="autoZero"/>
        <c:crossBetween val="midCat"/>
      </c:valAx>
      <c:valAx>
        <c:axId val="77486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Rendement</a:t>
                </a:r>
              </a:p>
            </c:rich>
          </c:tx>
          <c:layout>
            <c:manualLayout>
              <c:xMode val="edge"/>
              <c:yMode val="edge"/>
              <c:x val="4.4198895027624314E-2"/>
              <c:y val="0.330129214617403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4844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8853058780747368E-2"/>
          <c:y val="8.8737201365187729E-2"/>
          <c:w val="0.8885305878074734"/>
          <c:h val="0.70648464163822522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Matériaux!$B$8:$B$38</c:f>
              <c:strCache>
                <c:ptCount val="31"/>
                <c:pt idx="0">
                  <c:v>T
(K)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</c:strCache>
            </c:strRef>
          </c:cat>
          <c:val>
            <c:numRef>
              <c:f>Matériaux!$C$8:$C$38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1.5730408468100399</c:v>
                </c:pt>
                <c:pt idx="2">
                  <c:v>8.8542702885945435</c:v>
                </c:pt>
                <c:pt idx="3">
                  <c:v>33.445475647053456</c:v>
                </c:pt>
                <c:pt idx="4">
                  <c:v>81.95717957329758</c:v>
                </c:pt>
                <c:pt idx="5">
                  <c:v>148.83821552129808</c:v>
                </c:pt>
                <c:pt idx="6">
                  <c:v>223.63782479317891</c:v>
                </c:pt>
                <c:pt idx="7">
                  <c:v>298.29544036454388</c:v>
                </c:pt>
                <c:pt idx="8">
                  <c:v>368.66917360804314</c:v>
                </c:pt>
                <c:pt idx="9">
                  <c:v>433.33357400276537</c:v>
                </c:pt>
                <c:pt idx="10">
                  <c:v>492.1981760574281</c:v>
                </c:pt>
                <c:pt idx="11">
                  <c:v>545.64667437632147</c:v>
                </c:pt>
                <c:pt idx="12">
                  <c:v>594.12923764294305</c:v>
                </c:pt>
                <c:pt idx="13">
                  <c:v>638.01743924760081</c:v>
                </c:pt>
                <c:pt idx="14">
                  <c:v>677.58401546243044</c:v>
                </c:pt>
                <c:pt idx="15">
                  <c:v>713.03136021584783</c:v>
                </c:pt>
                <c:pt idx="16">
                  <c:v>744.53196088583024</c:v>
                </c:pt>
                <c:pt idx="17">
                  <c:v>772.26487898012533</c:v>
                </c:pt>
                <c:pt idx="18">
                  <c:v>796.44262254368471</c:v>
                </c:pt>
                <c:pt idx="19">
                  <c:v>817.32754369459815</c:v>
                </c:pt>
                <c:pt idx="20">
                  <c:v>835.23901973911597</c:v>
                </c:pt>
                <c:pt idx="21">
                  <c:v>850.55351123608943</c:v>
                </c:pt>
                <c:pt idx="22">
                  <c:v>863.69978279163593</c:v>
                </c:pt>
                <c:pt idx="23">
                  <c:v>875.15143878215747</c:v>
                </c:pt>
                <c:pt idx="24">
                  <c:v>885.41862962590744</c:v>
                </c:pt>
                <c:pt idx="25">
                  <c:v>895.04042440262185</c:v>
                </c:pt>
                <c:pt idx="26">
                  <c:v>904.57898388321598</c:v>
                </c:pt>
                <c:pt idx="27">
                  <c:v>914.61634758171442</c:v>
                </c:pt>
                <c:pt idx="28">
                  <c:v>925.75439689746986</c:v>
                </c:pt>
                <c:pt idx="29">
                  <c:v>938.61838669760436</c:v>
                </c:pt>
                <c:pt idx="30">
                  <c:v>953.86436010039381</c:v>
                </c:pt>
              </c:numCache>
            </c:numRef>
          </c:val>
        </c:ser>
        <c:marker val="1"/>
        <c:axId val="90252032"/>
        <c:axId val="90253952"/>
      </c:lineChart>
      <c:catAx>
        <c:axId val="90252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253952"/>
        <c:crosses val="autoZero"/>
        <c:auto val="1"/>
        <c:lblAlgn val="ctr"/>
        <c:lblOffset val="100"/>
        <c:tickLblSkip val="2"/>
        <c:tickMarkSkip val="1"/>
      </c:catAx>
      <c:valAx>
        <c:axId val="90253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252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8572852133343"/>
          <c:y val="7.8125E-2"/>
          <c:w val="0.71836806278705223"/>
          <c:h val="0.72812500000000013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90691840"/>
        <c:axId val="90694016"/>
      </c:scatterChart>
      <c:scatterChart>
        <c:scatterStyle val="lineMarker"/>
        <c:ser>
          <c:idx val="1"/>
          <c:order val="1"/>
          <c:tx>
            <c:strRef>
              <c:f>'Turbine Réguléé à 2205 Hz'!$M$24</c:f>
              <c:strCache>
                <c:ptCount val="1"/>
                <c:pt idx="0">
                  <c:v>T outlet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Hz'!$M$25:$M$47</c:f>
              <c:numCache>
                <c:formatCode>0.00</c:formatCode>
                <c:ptCount val="23"/>
                <c:pt idx="0">
                  <c:v>210.19897104201448</c:v>
                </c:pt>
                <c:pt idx="1">
                  <c:v>209.4986257587945</c:v>
                </c:pt>
                <c:pt idx="2">
                  <c:v>208.79827406083962</c:v>
                </c:pt>
                <c:pt idx="3">
                  <c:v>208.09792006806873</c:v>
                </c:pt>
                <c:pt idx="4">
                  <c:v>207.39756807737365</c:v>
                </c:pt>
                <c:pt idx="5">
                  <c:v>206.69722256089273</c:v>
                </c:pt>
                <c:pt idx="6">
                  <c:v>205.99688816150308</c:v>
                </c:pt>
                <c:pt idx="7">
                  <c:v>205.29656968771977</c:v>
                </c:pt>
                <c:pt idx="8">
                  <c:v>204.59627211427278</c:v>
                </c:pt>
                <c:pt idx="9">
                  <c:v>203.89600060402893</c:v>
                </c:pt>
                <c:pt idx="10">
                  <c:v>203.19576058741859</c:v>
                </c:pt>
                <c:pt idx="11">
                  <c:v>202.49555799170025</c:v>
                </c:pt>
                <c:pt idx="12">
                  <c:v>9.1296011203252547</c:v>
                </c:pt>
                <c:pt idx="13">
                  <c:v>8.9248180072740162</c:v>
                </c:pt>
                <c:pt idx="14">
                  <c:v>8.6702320955393652</c:v>
                </c:pt>
                <c:pt idx="15">
                  <c:v>8.417198916693506</c:v>
                </c:pt>
                <c:pt idx="16">
                  <c:v>8.1657439322561576</c:v>
                </c:pt>
                <c:pt idx="17">
                  <c:v>7.9159151680028845</c:v>
                </c:pt>
                <c:pt idx="18">
                  <c:v>7.6677811085781453</c:v>
                </c:pt>
                <c:pt idx="19">
                  <c:v>7.4214224766675319</c:v>
                </c:pt>
                <c:pt idx="20">
                  <c:v>7.1769142408681734</c:v>
                </c:pt>
                <c:pt idx="21">
                  <c:v>6.9342929054385269</c:v>
                </c:pt>
                <c:pt idx="22">
                  <c:v>6.693502993614473</c:v>
                </c:pt>
              </c:numCache>
            </c:numRef>
          </c:yVal>
          <c:smooth val="1"/>
        </c:ser>
        <c:axId val="90695936"/>
        <c:axId val="90701824"/>
      </c:scatterChart>
      <c:valAx>
        <c:axId val="90691840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489838770153728"/>
              <c:y val="0.8906250000000001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694016"/>
        <c:crosses val="autoZero"/>
        <c:crossBetween val="midCat"/>
      </c:valAx>
      <c:valAx>
        <c:axId val="90694016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61224489795919E-2"/>
              <c:y val="0.331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691840"/>
        <c:crosses val="autoZero"/>
        <c:crossBetween val="midCat"/>
      </c:valAx>
      <c:valAx>
        <c:axId val="90695936"/>
        <c:scaling>
          <c:orientation val="minMax"/>
        </c:scaling>
        <c:delete val="1"/>
        <c:axPos val="b"/>
        <c:numFmt formatCode="General" sourceLinked="1"/>
        <c:tickLblPos val="none"/>
        <c:crossAx val="90701824"/>
        <c:crosses val="autoZero"/>
        <c:crossBetween val="midCat"/>
      </c:valAx>
      <c:valAx>
        <c:axId val="90701824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outlet (K)</a:t>
                </a:r>
              </a:p>
            </c:rich>
          </c:tx>
          <c:layout>
            <c:manualLayout>
              <c:xMode val="edge"/>
              <c:yMode val="edge"/>
              <c:x val="0.91836820397450314"/>
              <c:y val="0.3406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695936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97961326262789"/>
          <c:y val="9.6875000000000017E-2"/>
          <c:w val="0.34898002035459857"/>
          <c:h val="0.21875000000000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56619144602856"/>
          <c:y val="7.7881856873834435E-2"/>
          <c:w val="0.71283095723014278"/>
          <c:h val="0.72897418033909045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90719744"/>
        <c:axId val="90721664"/>
      </c:scatterChart>
      <c:scatterChart>
        <c:scatterStyle val="lineMarker"/>
        <c:ser>
          <c:idx val="1"/>
          <c:order val="1"/>
          <c:tx>
            <c:strRef>
              <c:f>'Turbine Réguléé à 2205 Hz'!$J$24</c:f>
              <c:strCache>
                <c:ptCount val="1"/>
                <c:pt idx="0">
                  <c:v>Rndt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Hz'!$J$25:$J$47</c:f>
              <c:numCache>
                <c:formatCode>0.00</c:formatCode>
                <c:ptCount val="23"/>
                <c:pt idx="0">
                  <c:v>45.169624717526119</c:v>
                </c:pt>
                <c:pt idx="1">
                  <c:v>45.169578943647103</c:v>
                </c:pt>
                <c:pt idx="2">
                  <c:v>45.169533025375962</c:v>
                </c:pt>
                <c:pt idx="3">
                  <c:v>45.169486573319105</c:v>
                </c:pt>
                <c:pt idx="4">
                  <c:v>45.169439165390074</c:v>
                </c:pt>
                <c:pt idx="5">
                  <c:v>45.169390345599673</c:v>
                </c:pt>
                <c:pt idx="6">
                  <c:v>45.169339623079324</c:v>
                </c:pt>
                <c:pt idx="7">
                  <c:v>45.169286471137944</c:v>
                </c:pt>
                <c:pt idx="8">
                  <c:v>45.169230325725877</c:v>
                </c:pt>
                <c:pt idx="9">
                  <c:v>45.169170581674081</c:v>
                </c:pt>
                <c:pt idx="10">
                  <c:v>45.169106582842211</c:v>
                </c:pt>
                <c:pt idx="11">
                  <c:v>45.169037596174867</c:v>
                </c:pt>
                <c:pt idx="12">
                  <c:v>73.552473384083996</c:v>
                </c:pt>
                <c:pt idx="13">
                  <c:v>73.488825506621566</c:v>
                </c:pt>
                <c:pt idx="14">
                  <c:v>73.390925715558495</c:v>
                </c:pt>
                <c:pt idx="15">
                  <c:v>73.271095109858038</c:v>
                </c:pt>
                <c:pt idx="16">
                  <c:v>73.127419174878554</c:v>
                </c:pt>
                <c:pt idx="17">
                  <c:v>72.957714527834767</c:v>
                </c:pt>
                <c:pt idx="18">
                  <c:v>72.759570442874818</c:v>
                </c:pt>
                <c:pt idx="19">
                  <c:v>72.53047647873646</c:v>
                </c:pt>
                <c:pt idx="20">
                  <c:v>72.268096028487946</c:v>
                </c:pt>
                <c:pt idx="21">
                  <c:v>71.970775641415059</c:v>
                </c:pt>
                <c:pt idx="22">
                  <c:v>71.638419419948008</c:v>
                </c:pt>
              </c:numCache>
            </c:numRef>
          </c:yVal>
          <c:smooth val="1"/>
        </c:ser>
        <c:axId val="90732032"/>
        <c:axId val="90733568"/>
      </c:scatterChart>
      <c:valAx>
        <c:axId val="90719744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95519348268841"/>
              <c:y val="0.890968348582595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21664"/>
        <c:crosses val="autoZero"/>
        <c:crossBetween val="midCat"/>
      </c:valAx>
      <c:valAx>
        <c:axId val="90721664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549898167006113E-2"/>
              <c:y val="0.333334314519096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19744"/>
        <c:crosses val="autoZero"/>
        <c:crossBetween val="midCat"/>
      </c:valAx>
      <c:valAx>
        <c:axId val="90732032"/>
        <c:scaling>
          <c:orientation val="minMax"/>
        </c:scaling>
        <c:delete val="1"/>
        <c:axPos val="b"/>
        <c:numFmt formatCode="General" sourceLinked="1"/>
        <c:tickLblPos val="none"/>
        <c:crossAx val="90733568"/>
        <c:crosses val="autoZero"/>
        <c:crossBetween val="midCat"/>
      </c:valAx>
      <c:valAx>
        <c:axId val="9073356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Rndt (%)</a:t>
                </a:r>
              </a:p>
            </c:rich>
          </c:tx>
          <c:layout>
            <c:manualLayout>
              <c:xMode val="edge"/>
              <c:yMode val="edge"/>
              <c:x val="0.91853360488798352"/>
              <c:y val="0.36760222729168207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32032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274949083503064"/>
          <c:y val="5.2959501557632405E-2"/>
          <c:w val="0.31160896130346249"/>
          <c:h val="0.17445515572235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227670516685953"/>
          <c:y val="7.763986928600132E-2"/>
          <c:w val="0.71341605019382437"/>
          <c:h val="0.72981477128841254"/>
        </c:manualLayout>
      </c:layout>
      <c:scatterChart>
        <c:scatterStyle val="smoothMarker"/>
        <c:ser>
          <c:idx val="0"/>
          <c:order val="0"/>
          <c:tx>
            <c:strRef>
              <c:f>'Turbine Réguléé à 2205 Hz'!$L$24</c:f>
              <c:strCache>
                <c:ptCount val="1"/>
                <c:pt idx="0">
                  <c:v>Vitesse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Hz'!$L$25:$L$47</c:f>
              <c:numCache>
                <c:formatCode>0.0</c:formatCode>
                <c:ptCount val="23"/>
                <c:pt idx="0">
                  <c:v>-11.693047790265668</c:v>
                </c:pt>
                <c:pt idx="1">
                  <c:v>-11.895561915012832</c:v>
                </c:pt>
                <c:pt idx="2">
                  <c:v>-12.098061519642515</c:v>
                </c:pt>
                <c:pt idx="3">
                  <c:v>-12.302427067563265</c:v>
                </c:pt>
                <c:pt idx="4">
                  <c:v>-12.510686832638262</c:v>
                </c:pt>
                <c:pt idx="5">
                  <c:v>-12.725021677830929</c:v>
                </c:pt>
                <c:pt idx="6">
                  <c:v>-12.947768737260693</c:v>
                </c:pt>
                <c:pt idx="7">
                  <c:v>-13.181424992504677</c:v>
                </c:pt>
                <c:pt idx="8">
                  <c:v>-13.428653779907044</c:v>
                </c:pt>
                <c:pt idx="9">
                  <c:v>-13.692302066883611</c:v>
                </c:pt>
                <c:pt idx="10">
                  <c:v>-13.975446982276189</c:v>
                </c:pt>
                <c:pt idx="11">
                  <c:v>-14.281519314934291</c:v>
                </c:pt>
                <c:pt idx="12">
                  <c:v>2204.0116104256967</c:v>
                </c:pt>
                <c:pt idx="13">
                  <c:v>2191.5953830198569</c:v>
                </c:pt>
                <c:pt idx="14">
                  <c:v>2175.4004492615563</c:v>
                </c:pt>
                <c:pt idx="15">
                  <c:v>2158.4211040328005</c:v>
                </c:pt>
                <c:pt idx="16">
                  <c:v>2140.6143411198109</c:v>
                </c:pt>
                <c:pt idx="17">
                  <c:v>2121.9267340496335</c:v>
                </c:pt>
                <c:pt idx="18">
                  <c:v>2102.2878539661897</c:v>
                </c:pt>
                <c:pt idx="19">
                  <c:v>2081.600882460993</c:v>
                </c:pt>
                <c:pt idx="20">
                  <c:v>2059.729456596795</c:v>
                </c:pt>
                <c:pt idx="21">
                  <c:v>2036.4795505030752</c:v>
                </c:pt>
                <c:pt idx="22">
                  <c:v>2011.5749345562435</c:v>
                </c:pt>
              </c:numCache>
            </c:numRef>
          </c:yVal>
          <c:smooth val="1"/>
        </c:ser>
        <c:axId val="90751744"/>
        <c:axId val="90753664"/>
      </c:scatterChart>
      <c:scatterChart>
        <c:scatterStyle val="lineMarker"/>
        <c:ser>
          <c:idx val="1"/>
          <c:order val="1"/>
          <c:tx>
            <c:strRef>
              <c:f>'Turbine Réguléé à 2205 Hz'!$D$24</c:f>
              <c:strCache>
                <c:ptCount val="1"/>
                <c:pt idx="0">
                  <c:v>Pression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'Turbine Réguléé à 2205 Hz'!$C$25:$C$47</c:f>
              <c:numCache>
                <c:formatCode>General</c:formatCode>
                <c:ptCount val="23"/>
                <c:pt idx="0">
                  <c:v>300</c:v>
                </c:pt>
                <c:pt idx="1">
                  <c:v>299</c:v>
                </c:pt>
                <c:pt idx="2">
                  <c:v>298</c:v>
                </c:pt>
                <c:pt idx="3">
                  <c:v>297</c:v>
                </c:pt>
                <c:pt idx="4">
                  <c:v>296</c:v>
                </c:pt>
                <c:pt idx="5">
                  <c:v>295</c:v>
                </c:pt>
                <c:pt idx="6">
                  <c:v>294</c:v>
                </c:pt>
                <c:pt idx="7">
                  <c:v>293</c:v>
                </c:pt>
                <c:pt idx="8">
                  <c:v>292</c:v>
                </c:pt>
                <c:pt idx="9">
                  <c:v>291</c:v>
                </c:pt>
                <c:pt idx="10">
                  <c:v>290</c:v>
                </c:pt>
                <c:pt idx="11">
                  <c:v>289</c:v>
                </c:pt>
                <c:pt idx="12">
                  <c:v>18.399999999999999</c:v>
                </c:pt>
                <c:pt idx="13">
                  <c:v>18</c:v>
                </c:pt>
                <c:pt idx="14">
                  <c:v>17.5</c:v>
                </c:pt>
                <c:pt idx="15">
                  <c:v>17</c:v>
                </c:pt>
                <c:pt idx="16">
                  <c:v>16.5</c:v>
                </c:pt>
                <c:pt idx="17">
                  <c:v>16</c:v>
                </c:pt>
                <c:pt idx="18">
                  <c:v>15.5</c:v>
                </c:pt>
                <c:pt idx="19">
                  <c:v>15</c:v>
                </c:pt>
                <c:pt idx="20">
                  <c:v>14.5</c:v>
                </c:pt>
                <c:pt idx="21">
                  <c:v>14</c:v>
                </c:pt>
                <c:pt idx="22">
                  <c:v>13.5</c:v>
                </c:pt>
              </c:numCache>
            </c:numRef>
          </c:xVal>
          <c:yVal>
            <c:numRef>
              <c:f>'Turbine Réguléé à 2205 Hz'!$D$25:$D$47</c:f>
              <c:numCache>
                <c:formatCode>0.00</c:formatCode>
                <c:ptCount val="23"/>
                <c:pt idx="0">
                  <c:v>14.430759882979357</c:v>
                </c:pt>
                <c:pt idx="1">
                  <c:v>14.544852569053996</c:v>
                </c:pt>
                <c:pt idx="2">
                  <c:v>14.655058059616071</c:v>
                </c:pt>
                <c:pt idx="3">
                  <c:v>14.763676969561578</c:v>
                </c:pt>
                <c:pt idx="4">
                  <c:v>14.873101620957407</c:v>
                </c:pt>
                <c:pt idx="5">
                  <c:v>14.985814613994446</c:v>
                </c:pt>
                <c:pt idx="6">
                  <c:v>15.104385955218516</c:v>
                </c:pt>
                <c:pt idx="7">
                  <c:v>15.231469985475488</c:v>
                </c:pt>
                <c:pt idx="8">
                  <c:v>15.369805610081299</c:v>
                </c:pt>
                <c:pt idx="9">
                  <c:v>15.5222285289473</c:v>
                </c:pt>
                <c:pt idx="10">
                  <c:v>15.691715484272706</c:v>
                </c:pt>
                <c:pt idx="11">
                  <c:v>15.881511584256959</c:v>
                </c:pt>
                <c:pt idx="12" formatCode="General">
                  <c:v>16</c:v>
                </c:pt>
                <c:pt idx="13" formatCode="General">
                  <c:v>16</c:v>
                </c:pt>
                <c:pt idx="14" formatCode="General">
                  <c:v>16</c:v>
                </c:pt>
                <c:pt idx="15" formatCode="General">
                  <c:v>16</c:v>
                </c:pt>
                <c:pt idx="16" formatCode="General">
                  <c:v>16</c:v>
                </c:pt>
                <c:pt idx="17" formatCode="General">
                  <c:v>16</c:v>
                </c:pt>
                <c:pt idx="18" formatCode="General">
                  <c:v>16</c:v>
                </c:pt>
                <c:pt idx="19" formatCode="General">
                  <c:v>16</c:v>
                </c:pt>
                <c:pt idx="20" formatCode="General">
                  <c:v>16</c:v>
                </c:pt>
                <c:pt idx="21" formatCode="General">
                  <c:v>16</c:v>
                </c:pt>
                <c:pt idx="22" formatCode="General">
                  <c:v>16</c:v>
                </c:pt>
              </c:numCache>
            </c:numRef>
          </c:yVal>
          <c:smooth val="1"/>
        </c:ser>
        <c:axId val="90764032"/>
        <c:axId val="90765568"/>
      </c:scatterChart>
      <c:valAx>
        <c:axId val="90751744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 inlet (K)</a:t>
                </a:r>
              </a:p>
            </c:rich>
          </c:tx>
          <c:layout>
            <c:manualLayout>
              <c:xMode val="edge"/>
              <c:yMode val="edge"/>
              <c:x val="0.44105776412094833"/>
              <c:y val="0.891305652010889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53664"/>
        <c:crosses val="autoZero"/>
        <c:crossBetween val="midCat"/>
      </c:valAx>
      <c:valAx>
        <c:axId val="90753664"/>
        <c:scaling>
          <c:orientation val="minMax"/>
          <c:min val="2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Vitesse (Hz)</a:t>
                </a:r>
              </a:p>
            </c:rich>
          </c:tx>
          <c:layout>
            <c:manualLayout>
              <c:xMode val="edge"/>
              <c:yMode val="edge"/>
              <c:x val="3.0487804878048783E-2"/>
              <c:y val="0.3322987887383642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51744"/>
        <c:crosses val="autoZero"/>
        <c:crossBetween val="midCat"/>
      </c:valAx>
      <c:valAx>
        <c:axId val="90764032"/>
        <c:scaling>
          <c:orientation val="minMax"/>
        </c:scaling>
        <c:delete val="1"/>
        <c:axPos val="b"/>
        <c:numFmt formatCode="General" sourceLinked="1"/>
        <c:tickLblPos val="none"/>
        <c:crossAx val="90765568"/>
        <c:crosses val="autoZero"/>
        <c:crossBetween val="midCat"/>
      </c:valAx>
      <c:valAx>
        <c:axId val="9076556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Pression (bars)</a:t>
                </a:r>
              </a:p>
            </c:rich>
          </c:tx>
          <c:layout>
            <c:manualLayout>
              <c:xMode val="edge"/>
              <c:yMode val="edge"/>
              <c:x val="0.91870110748351586"/>
              <c:y val="0.30124256207104549"/>
            </c:manualLayout>
          </c:layout>
          <c:spPr>
            <a:noFill/>
            <a:ln w="25400">
              <a:noFill/>
            </a:ln>
          </c:spPr>
        </c:title>
        <c:numFmt formatCode="0.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764032"/>
        <c:crosses val="max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463457311738472"/>
          <c:y val="0.18633572977290883"/>
          <c:w val="0.32723662590956631"/>
          <c:h val="0.307454068241469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0.png"/><Relationship Id="rId1" Type="http://schemas.openxmlformats.org/officeDocument/2006/relationships/image" Target="../media/image18.png"/><Relationship Id="rId4" Type="http://schemas.openxmlformats.org/officeDocument/2006/relationships/image" Target="../media/image2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34.emf"/><Relationship Id="rId7" Type="http://schemas.openxmlformats.org/officeDocument/2006/relationships/chart" Target="../charts/chart8.xml"/><Relationship Id="rId2" Type="http://schemas.openxmlformats.org/officeDocument/2006/relationships/image" Target="../media/image33.emf"/><Relationship Id="rId1" Type="http://schemas.openxmlformats.org/officeDocument/2006/relationships/image" Target="../media/image32.emf"/><Relationship Id="rId6" Type="http://schemas.openxmlformats.org/officeDocument/2006/relationships/chart" Target="../charts/chart7.xml"/><Relationship Id="rId5" Type="http://schemas.openxmlformats.org/officeDocument/2006/relationships/image" Target="../media/image36.emf"/><Relationship Id="rId4" Type="http://schemas.openxmlformats.org/officeDocument/2006/relationships/image" Target="../media/image35.emf"/><Relationship Id="rId9" Type="http://schemas.openxmlformats.org/officeDocument/2006/relationships/image" Target="../media/image37.emf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image" Target="../media/image34.emf"/><Relationship Id="rId7" Type="http://schemas.openxmlformats.org/officeDocument/2006/relationships/chart" Target="../charts/chart11.xml"/><Relationship Id="rId2" Type="http://schemas.openxmlformats.org/officeDocument/2006/relationships/image" Target="../media/image33.emf"/><Relationship Id="rId1" Type="http://schemas.openxmlformats.org/officeDocument/2006/relationships/image" Target="../media/image32.emf"/><Relationship Id="rId6" Type="http://schemas.openxmlformats.org/officeDocument/2006/relationships/chart" Target="../charts/chart10.xml"/><Relationship Id="rId5" Type="http://schemas.openxmlformats.org/officeDocument/2006/relationships/image" Target="../media/image36.emf"/><Relationship Id="rId4" Type="http://schemas.openxmlformats.org/officeDocument/2006/relationships/image" Target="../media/image35.emf"/><Relationship Id="rId9" Type="http://schemas.openxmlformats.org/officeDocument/2006/relationships/image" Target="../media/image3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image" Target="../media/image9.emf"/><Relationship Id="rId7" Type="http://schemas.openxmlformats.org/officeDocument/2006/relationships/image" Target="../media/image1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11" Type="http://schemas.openxmlformats.org/officeDocument/2006/relationships/image" Target="../media/image17.emf"/><Relationship Id="rId5" Type="http://schemas.openxmlformats.org/officeDocument/2006/relationships/image" Target="../media/image11.emf"/><Relationship Id="rId10" Type="http://schemas.openxmlformats.org/officeDocument/2006/relationships/image" Target="../media/image16.emf"/><Relationship Id="rId4" Type="http://schemas.openxmlformats.org/officeDocument/2006/relationships/image" Target="../media/image10.emf"/><Relationship Id="rId9" Type="http://schemas.openxmlformats.org/officeDocument/2006/relationships/image" Target="../media/image15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0</xdr:rowOff>
    </xdr:from>
    <xdr:to>
      <xdr:col>14</xdr:col>
      <xdr:colOff>419100</xdr:colOff>
      <xdr:row>3</xdr:row>
      <xdr:rowOff>0</xdr:rowOff>
    </xdr:to>
    <xdr:pic>
      <xdr:nvPicPr>
        <xdr:cNvPr id="33486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0"/>
          <a:ext cx="933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37</xdr:row>
      <xdr:rowOff>28575</xdr:rowOff>
    </xdr:from>
    <xdr:to>
      <xdr:col>6</xdr:col>
      <xdr:colOff>676275</xdr:colOff>
      <xdr:row>44</xdr:row>
      <xdr:rowOff>47625</xdr:rowOff>
    </xdr:to>
    <xdr:sp macro="" textlink="">
      <xdr:nvSpPr>
        <xdr:cNvPr id="51445" name="Rectangle 162"/>
        <xdr:cNvSpPr>
          <a:spLocks noChangeArrowheads="1"/>
        </xdr:cNvSpPr>
      </xdr:nvSpPr>
      <xdr:spPr bwMode="auto">
        <a:xfrm>
          <a:off x="3171825" y="6029325"/>
          <a:ext cx="2876550" cy="1152525"/>
        </a:xfrm>
        <a:prstGeom prst="rect">
          <a:avLst/>
        </a:prstGeom>
        <a:noFill/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542925</xdr:colOff>
      <xdr:row>33</xdr:row>
      <xdr:rowOff>85725</xdr:rowOff>
    </xdr:from>
    <xdr:to>
      <xdr:col>4</xdr:col>
      <xdr:colOff>542925</xdr:colOff>
      <xdr:row>49</xdr:row>
      <xdr:rowOff>76200</xdr:rowOff>
    </xdr:to>
    <xdr:sp macro="" textlink="">
      <xdr:nvSpPr>
        <xdr:cNvPr id="51446" name="Line 163"/>
        <xdr:cNvSpPr>
          <a:spLocks noChangeShapeType="1"/>
        </xdr:cNvSpPr>
      </xdr:nvSpPr>
      <xdr:spPr bwMode="auto">
        <a:xfrm>
          <a:off x="3962400" y="5438775"/>
          <a:ext cx="0" cy="2581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</xdr:colOff>
      <xdr:row>33</xdr:row>
      <xdr:rowOff>104775</xdr:rowOff>
    </xdr:from>
    <xdr:to>
      <xdr:col>6</xdr:col>
      <xdr:colOff>47625</xdr:colOff>
      <xdr:row>49</xdr:row>
      <xdr:rowOff>38100</xdr:rowOff>
    </xdr:to>
    <xdr:sp macro="" textlink="">
      <xdr:nvSpPr>
        <xdr:cNvPr id="51447" name="Line 164"/>
        <xdr:cNvSpPr>
          <a:spLocks noChangeShapeType="1"/>
        </xdr:cNvSpPr>
      </xdr:nvSpPr>
      <xdr:spPr bwMode="auto">
        <a:xfrm flipV="1">
          <a:off x="5419725" y="5457825"/>
          <a:ext cx="0" cy="2524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37</xdr:row>
      <xdr:rowOff>28575</xdr:rowOff>
    </xdr:from>
    <xdr:to>
      <xdr:col>6</xdr:col>
      <xdr:colOff>676275</xdr:colOff>
      <xdr:row>44</xdr:row>
      <xdr:rowOff>47625</xdr:rowOff>
    </xdr:to>
    <xdr:sp macro="" textlink="">
      <xdr:nvSpPr>
        <xdr:cNvPr id="89160" name="Rectangle 1"/>
        <xdr:cNvSpPr>
          <a:spLocks noChangeArrowheads="1"/>
        </xdr:cNvSpPr>
      </xdr:nvSpPr>
      <xdr:spPr bwMode="auto">
        <a:xfrm>
          <a:off x="3171825" y="6019800"/>
          <a:ext cx="2914650" cy="1152525"/>
        </a:xfrm>
        <a:prstGeom prst="rect">
          <a:avLst/>
        </a:prstGeom>
        <a:noFill/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542925</xdr:colOff>
      <xdr:row>33</xdr:row>
      <xdr:rowOff>85725</xdr:rowOff>
    </xdr:from>
    <xdr:to>
      <xdr:col>4</xdr:col>
      <xdr:colOff>542925</xdr:colOff>
      <xdr:row>49</xdr:row>
      <xdr:rowOff>76200</xdr:rowOff>
    </xdr:to>
    <xdr:sp macro="" textlink="">
      <xdr:nvSpPr>
        <xdr:cNvPr id="89161" name="Line 2"/>
        <xdr:cNvSpPr>
          <a:spLocks noChangeShapeType="1"/>
        </xdr:cNvSpPr>
      </xdr:nvSpPr>
      <xdr:spPr bwMode="auto">
        <a:xfrm>
          <a:off x="3962400" y="5429250"/>
          <a:ext cx="0" cy="2581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</xdr:colOff>
      <xdr:row>33</xdr:row>
      <xdr:rowOff>104775</xdr:rowOff>
    </xdr:from>
    <xdr:to>
      <xdr:col>6</xdr:col>
      <xdr:colOff>47625</xdr:colOff>
      <xdr:row>49</xdr:row>
      <xdr:rowOff>38100</xdr:rowOff>
    </xdr:to>
    <xdr:sp macro="" textlink="">
      <xdr:nvSpPr>
        <xdr:cNvPr id="89162" name="Line 3"/>
        <xdr:cNvSpPr>
          <a:spLocks noChangeShapeType="1"/>
        </xdr:cNvSpPr>
      </xdr:nvSpPr>
      <xdr:spPr bwMode="auto">
        <a:xfrm flipV="1">
          <a:off x="5457825" y="5448300"/>
          <a:ext cx="0" cy="2524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21</xdr:row>
      <xdr:rowOff>0</xdr:rowOff>
    </xdr:from>
    <xdr:to>
      <xdr:col>4</xdr:col>
      <xdr:colOff>542925</xdr:colOff>
      <xdr:row>21</xdr:row>
      <xdr:rowOff>0</xdr:rowOff>
    </xdr:to>
    <xdr:sp macro="" textlink="">
      <xdr:nvSpPr>
        <xdr:cNvPr id="76849" name="Line 2"/>
        <xdr:cNvSpPr>
          <a:spLocks noChangeShapeType="1"/>
        </xdr:cNvSpPr>
      </xdr:nvSpPr>
      <xdr:spPr bwMode="auto">
        <a:xfrm>
          <a:off x="38957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</xdr:colOff>
      <xdr:row>21</xdr:row>
      <xdr:rowOff>0</xdr:rowOff>
    </xdr:from>
    <xdr:to>
      <xdr:col>6</xdr:col>
      <xdr:colOff>47625</xdr:colOff>
      <xdr:row>21</xdr:row>
      <xdr:rowOff>0</xdr:rowOff>
    </xdr:to>
    <xdr:sp macro="" textlink="">
      <xdr:nvSpPr>
        <xdr:cNvPr id="76850" name="Line 3"/>
        <xdr:cNvSpPr>
          <a:spLocks noChangeShapeType="1"/>
        </xdr:cNvSpPr>
      </xdr:nvSpPr>
      <xdr:spPr bwMode="auto">
        <a:xfrm flipV="1">
          <a:off x="53530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326932" name="Group 1"/>
        <xdr:cNvGrpSpPr>
          <a:grpSpLocks/>
        </xdr:cNvGrpSpPr>
      </xdr:nvGrpSpPr>
      <xdr:grpSpPr bwMode="auto">
        <a:xfrm>
          <a:off x="247650" y="190500"/>
          <a:ext cx="1276350" cy="361950"/>
          <a:chOff x="2448" y="3888"/>
          <a:chExt cx="1815" cy="540"/>
        </a:xfrm>
      </xdr:grpSpPr>
      <xdr:pic>
        <xdr:nvPicPr>
          <xdr:cNvPr id="326986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0659" name="WordArt 3"/>
          <xdr:cNvSpPr>
            <a:spLocks noChangeAspect="1" noChangeArrowheads="1" noChangeShapeType="1" noTextEdit="1"/>
          </xdr:cNvSpPr>
        </xdr:nvSpPr>
        <xdr:spPr bwMode="auto">
          <a:xfrm>
            <a:off x="3125" y="4371"/>
            <a:ext cx="1124" cy="57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  <xdr:twoCellAnchor>
    <xdr:from>
      <xdr:col>7</xdr:col>
      <xdr:colOff>95250</xdr:colOff>
      <xdr:row>97</xdr:row>
      <xdr:rowOff>133350</xdr:rowOff>
    </xdr:from>
    <xdr:to>
      <xdr:col>9</xdr:col>
      <xdr:colOff>533400</xdr:colOff>
      <xdr:row>101</xdr:row>
      <xdr:rowOff>85725</xdr:rowOff>
    </xdr:to>
    <xdr:sp macro="" textlink="">
      <xdr:nvSpPr>
        <xdr:cNvPr id="326933" name="Rectangle 4"/>
        <xdr:cNvSpPr>
          <a:spLocks noChangeArrowheads="1"/>
        </xdr:cNvSpPr>
      </xdr:nvSpPr>
      <xdr:spPr bwMode="auto">
        <a:xfrm>
          <a:off x="2019300" y="16106775"/>
          <a:ext cx="1638300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428625</xdr:colOff>
      <xdr:row>98</xdr:row>
      <xdr:rowOff>114300</xdr:rowOff>
    </xdr:from>
    <xdr:to>
      <xdr:col>10</xdr:col>
      <xdr:colOff>142875</xdr:colOff>
      <xdr:row>98</xdr:row>
      <xdr:rowOff>114300</xdr:rowOff>
    </xdr:to>
    <xdr:sp macro="" textlink="">
      <xdr:nvSpPr>
        <xdr:cNvPr id="326934" name="Line 5"/>
        <xdr:cNvSpPr>
          <a:spLocks noChangeShapeType="1"/>
        </xdr:cNvSpPr>
      </xdr:nvSpPr>
      <xdr:spPr bwMode="auto">
        <a:xfrm>
          <a:off x="1924050" y="16249650"/>
          <a:ext cx="1971675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0</xdr:colOff>
      <xdr:row>100</xdr:row>
      <xdr:rowOff>152400</xdr:rowOff>
    </xdr:from>
    <xdr:to>
      <xdr:col>10</xdr:col>
      <xdr:colOff>142875</xdr:colOff>
      <xdr:row>100</xdr:row>
      <xdr:rowOff>152400</xdr:rowOff>
    </xdr:to>
    <xdr:sp macro="" textlink="">
      <xdr:nvSpPr>
        <xdr:cNvPr id="326935" name="Line 6"/>
        <xdr:cNvSpPr>
          <a:spLocks noChangeShapeType="1"/>
        </xdr:cNvSpPr>
      </xdr:nvSpPr>
      <xdr:spPr bwMode="auto">
        <a:xfrm flipH="1">
          <a:off x="1924050" y="16611600"/>
          <a:ext cx="1971675" cy="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7</xdr:col>
      <xdr:colOff>0</xdr:colOff>
      <xdr:row>111</xdr:row>
      <xdr:rowOff>0</xdr:rowOff>
    </xdr:from>
    <xdr:to>
      <xdr:col>11</xdr:col>
      <xdr:colOff>628650</xdr:colOff>
      <xdr:row>130</xdr:row>
      <xdr:rowOff>133350</xdr:rowOff>
    </xdr:to>
    <xdr:pic>
      <xdr:nvPicPr>
        <xdr:cNvPr id="32693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24050" y="18278475"/>
          <a:ext cx="3352800" cy="3190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91</xdr:row>
      <xdr:rowOff>76200</xdr:rowOff>
    </xdr:from>
    <xdr:to>
      <xdr:col>4</xdr:col>
      <xdr:colOff>323850</xdr:colOff>
      <xdr:row>106</xdr:row>
      <xdr:rowOff>76200</xdr:rowOff>
    </xdr:to>
    <xdr:sp macro="" textlink="">
      <xdr:nvSpPr>
        <xdr:cNvPr id="326937" name="Line 8"/>
        <xdr:cNvSpPr>
          <a:spLocks noChangeShapeType="1"/>
        </xdr:cNvSpPr>
      </xdr:nvSpPr>
      <xdr:spPr bwMode="auto">
        <a:xfrm>
          <a:off x="1181100" y="15068550"/>
          <a:ext cx="0" cy="2438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0</xdr:colOff>
      <xdr:row>90</xdr:row>
      <xdr:rowOff>0</xdr:rowOff>
    </xdr:from>
    <xdr:to>
      <xdr:col>20</xdr:col>
      <xdr:colOff>57150</xdr:colOff>
      <xdr:row>109</xdr:row>
      <xdr:rowOff>47625</xdr:rowOff>
    </xdr:to>
    <xdr:grpSp>
      <xdr:nvGrpSpPr>
        <xdr:cNvPr id="326938" name="Group 9"/>
        <xdr:cNvGrpSpPr>
          <a:grpSpLocks/>
        </xdr:cNvGrpSpPr>
      </xdr:nvGrpSpPr>
      <xdr:grpSpPr bwMode="auto">
        <a:xfrm>
          <a:off x="7124700" y="14830425"/>
          <a:ext cx="3667125" cy="3162300"/>
          <a:chOff x="907" y="138"/>
          <a:chExt cx="229" cy="332"/>
        </a:xfrm>
      </xdr:grpSpPr>
      <xdr:pic>
        <xdr:nvPicPr>
          <xdr:cNvPr id="326984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907" y="138"/>
            <a:ext cx="229" cy="332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326985" name="Oval 11"/>
          <xdr:cNvSpPr>
            <a:spLocks noChangeArrowheads="1"/>
          </xdr:cNvSpPr>
        </xdr:nvSpPr>
        <xdr:spPr bwMode="auto">
          <a:xfrm>
            <a:off x="1004" y="295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228600</xdr:colOff>
      <xdr:row>33</xdr:row>
      <xdr:rowOff>85725</xdr:rowOff>
    </xdr:from>
    <xdr:to>
      <xdr:col>13</xdr:col>
      <xdr:colOff>266700</xdr:colOff>
      <xdr:row>37</xdr:row>
      <xdr:rowOff>85725</xdr:rowOff>
    </xdr:to>
    <xdr:sp macro="" textlink="">
      <xdr:nvSpPr>
        <xdr:cNvPr id="326939" name="Rectangle 12"/>
        <xdr:cNvSpPr>
          <a:spLocks noChangeArrowheads="1"/>
        </xdr:cNvSpPr>
      </xdr:nvSpPr>
      <xdr:spPr bwMode="auto">
        <a:xfrm>
          <a:off x="4876800" y="5619750"/>
          <a:ext cx="2057400" cy="647700"/>
        </a:xfrm>
        <a:prstGeom prst="rect">
          <a:avLst/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34</xdr:row>
      <xdr:rowOff>95250</xdr:rowOff>
    </xdr:from>
    <xdr:to>
      <xdr:col>12</xdr:col>
      <xdr:colOff>962025</xdr:colOff>
      <xdr:row>36</xdr:row>
      <xdr:rowOff>57150</xdr:rowOff>
    </xdr:to>
    <xdr:sp macro="" textlink="">
      <xdr:nvSpPr>
        <xdr:cNvPr id="326940" name="AutoShape 13"/>
        <xdr:cNvSpPr>
          <a:spLocks noChangeArrowheads="1"/>
        </xdr:cNvSpPr>
      </xdr:nvSpPr>
      <xdr:spPr bwMode="auto">
        <a:xfrm rot="5400000">
          <a:off x="5934075" y="5581650"/>
          <a:ext cx="285750" cy="70485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35</xdr:row>
      <xdr:rowOff>85725</xdr:rowOff>
    </xdr:from>
    <xdr:to>
      <xdr:col>18</xdr:col>
      <xdr:colOff>200025</xdr:colOff>
      <xdr:row>35</xdr:row>
      <xdr:rowOff>85725</xdr:rowOff>
    </xdr:to>
    <xdr:sp macro="" textlink="">
      <xdr:nvSpPr>
        <xdr:cNvPr id="326941" name="Line 14"/>
        <xdr:cNvSpPr>
          <a:spLocks noChangeShapeType="1"/>
        </xdr:cNvSpPr>
      </xdr:nvSpPr>
      <xdr:spPr bwMode="auto">
        <a:xfrm>
          <a:off x="3819525" y="5943600"/>
          <a:ext cx="561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228600</xdr:colOff>
      <xdr:row>40</xdr:row>
      <xdr:rowOff>28575</xdr:rowOff>
    </xdr:from>
    <xdr:to>
      <xdr:col>13</xdr:col>
      <xdr:colOff>266700</xdr:colOff>
      <xdr:row>44</xdr:row>
      <xdr:rowOff>38100</xdr:rowOff>
    </xdr:to>
    <xdr:sp macro="" textlink="">
      <xdr:nvSpPr>
        <xdr:cNvPr id="326942" name="Rectangle 15"/>
        <xdr:cNvSpPr>
          <a:spLocks noChangeArrowheads="1"/>
        </xdr:cNvSpPr>
      </xdr:nvSpPr>
      <xdr:spPr bwMode="auto">
        <a:xfrm>
          <a:off x="4876800" y="6696075"/>
          <a:ext cx="2057400" cy="657225"/>
        </a:xfrm>
        <a:prstGeom prst="rect">
          <a:avLst/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41</xdr:row>
      <xdr:rowOff>38100</xdr:rowOff>
    </xdr:from>
    <xdr:to>
      <xdr:col>12</xdr:col>
      <xdr:colOff>962025</xdr:colOff>
      <xdr:row>43</xdr:row>
      <xdr:rowOff>0</xdr:rowOff>
    </xdr:to>
    <xdr:sp macro="" textlink="">
      <xdr:nvSpPr>
        <xdr:cNvPr id="326943" name="AutoShape 16"/>
        <xdr:cNvSpPr>
          <a:spLocks noChangeArrowheads="1"/>
        </xdr:cNvSpPr>
      </xdr:nvSpPr>
      <xdr:spPr bwMode="auto">
        <a:xfrm rot="5400000">
          <a:off x="5934075" y="6657975"/>
          <a:ext cx="285750" cy="70485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42</xdr:row>
      <xdr:rowOff>28575</xdr:rowOff>
    </xdr:from>
    <xdr:to>
      <xdr:col>18</xdr:col>
      <xdr:colOff>190500</xdr:colOff>
      <xdr:row>42</xdr:row>
      <xdr:rowOff>28575</xdr:rowOff>
    </xdr:to>
    <xdr:sp macro="" textlink="">
      <xdr:nvSpPr>
        <xdr:cNvPr id="326944" name="Line 17"/>
        <xdr:cNvSpPr>
          <a:spLocks noChangeShapeType="1"/>
        </xdr:cNvSpPr>
      </xdr:nvSpPr>
      <xdr:spPr bwMode="auto">
        <a:xfrm>
          <a:off x="3819525" y="7019925"/>
          <a:ext cx="561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200025</xdr:colOff>
      <xdr:row>22</xdr:row>
      <xdr:rowOff>47625</xdr:rowOff>
    </xdr:from>
    <xdr:to>
      <xdr:col>18</xdr:col>
      <xdr:colOff>209550</xdr:colOff>
      <xdr:row>42</xdr:row>
      <xdr:rowOff>47625</xdr:rowOff>
    </xdr:to>
    <xdr:sp macro="" textlink="">
      <xdr:nvSpPr>
        <xdr:cNvPr id="326945" name="Line 18"/>
        <xdr:cNvSpPr>
          <a:spLocks noChangeShapeType="1"/>
        </xdr:cNvSpPr>
      </xdr:nvSpPr>
      <xdr:spPr bwMode="auto">
        <a:xfrm flipV="1">
          <a:off x="9439275" y="3800475"/>
          <a:ext cx="9525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22</xdr:row>
      <xdr:rowOff>47625</xdr:rowOff>
    </xdr:from>
    <xdr:to>
      <xdr:col>18</xdr:col>
      <xdr:colOff>209550</xdr:colOff>
      <xdr:row>22</xdr:row>
      <xdr:rowOff>47625</xdr:rowOff>
    </xdr:to>
    <xdr:sp macro="" textlink="">
      <xdr:nvSpPr>
        <xdr:cNvPr id="326946" name="Line 19"/>
        <xdr:cNvSpPr>
          <a:spLocks noChangeShapeType="1"/>
        </xdr:cNvSpPr>
      </xdr:nvSpPr>
      <xdr:spPr bwMode="auto">
        <a:xfrm flipH="1">
          <a:off x="3838575" y="3800475"/>
          <a:ext cx="561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19</xdr:row>
      <xdr:rowOff>104775</xdr:rowOff>
    </xdr:from>
    <xdr:to>
      <xdr:col>19</xdr:col>
      <xdr:colOff>409575</xdr:colOff>
      <xdr:row>19</xdr:row>
      <xdr:rowOff>104775</xdr:rowOff>
    </xdr:to>
    <xdr:sp macro="" textlink="">
      <xdr:nvSpPr>
        <xdr:cNvPr id="326947" name="Line 20"/>
        <xdr:cNvSpPr>
          <a:spLocks noChangeShapeType="1"/>
        </xdr:cNvSpPr>
      </xdr:nvSpPr>
      <xdr:spPr bwMode="auto">
        <a:xfrm>
          <a:off x="3552825" y="3371850"/>
          <a:ext cx="6981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647700</xdr:colOff>
      <xdr:row>18</xdr:row>
      <xdr:rowOff>123825</xdr:rowOff>
    </xdr:from>
    <xdr:to>
      <xdr:col>14</xdr:col>
      <xdr:colOff>495300</xdr:colOff>
      <xdr:row>23</xdr:row>
      <xdr:rowOff>28575</xdr:rowOff>
    </xdr:to>
    <xdr:sp macro="" textlink="">
      <xdr:nvSpPr>
        <xdr:cNvPr id="70677" name="Rectangle 21"/>
        <xdr:cNvSpPr>
          <a:spLocks noChangeArrowheads="1"/>
        </xdr:cNvSpPr>
      </xdr:nvSpPr>
      <xdr:spPr bwMode="auto">
        <a:xfrm>
          <a:off x="4400550" y="3228975"/>
          <a:ext cx="3219450" cy="714375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Aftercooler</a:t>
          </a: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85725</xdr:colOff>
      <xdr:row>28</xdr:row>
      <xdr:rowOff>9525</xdr:rowOff>
    </xdr:from>
    <xdr:to>
      <xdr:col>18</xdr:col>
      <xdr:colOff>209550</xdr:colOff>
      <xdr:row>28</xdr:row>
      <xdr:rowOff>9525</xdr:rowOff>
    </xdr:to>
    <xdr:sp macro="" textlink="">
      <xdr:nvSpPr>
        <xdr:cNvPr id="326949" name="Line 22"/>
        <xdr:cNvSpPr>
          <a:spLocks noChangeShapeType="1"/>
        </xdr:cNvSpPr>
      </xdr:nvSpPr>
      <xdr:spPr bwMode="auto">
        <a:xfrm flipH="1">
          <a:off x="3838575" y="4733925"/>
          <a:ext cx="561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219075</xdr:colOff>
      <xdr:row>32</xdr:row>
      <xdr:rowOff>47625</xdr:rowOff>
    </xdr:from>
    <xdr:to>
      <xdr:col>12</xdr:col>
      <xdr:colOff>714375</xdr:colOff>
      <xdr:row>34</xdr:row>
      <xdr:rowOff>19050</xdr:rowOff>
    </xdr:to>
    <xdr:sp macro="" textlink="">
      <xdr:nvSpPr>
        <xdr:cNvPr id="70679" name="Text Box 23"/>
        <xdr:cNvSpPr txBox="1">
          <a:spLocks noChangeArrowheads="1"/>
        </xdr:cNvSpPr>
      </xdr:nvSpPr>
      <xdr:spPr bwMode="auto">
        <a:xfrm>
          <a:off x="4867275" y="5419725"/>
          <a:ext cx="1314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New Chiller unit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11</xdr:col>
      <xdr:colOff>152400</xdr:colOff>
      <xdr:row>38</xdr:row>
      <xdr:rowOff>104775</xdr:rowOff>
    </xdr:from>
    <xdr:ext cx="1361976" cy="505267"/>
    <xdr:sp macro="" textlink="">
      <xdr:nvSpPr>
        <xdr:cNvPr id="70680" name="Text Box 24"/>
        <xdr:cNvSpPr txBox="1">
          <a:spLocks noChangeArrowheads="1"/>
        </xdr:cNvSpPr>
      </xdr:nvSpPr>
      <xdr:spPr bwMode="auto">
        <a:xfrm>
          <a:off x="4814047" y="6290422"/>
          <a:ext cx="1361976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Old Chiller unit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76200</xdr:colOff>
      <xdr:row>16</xdr:row>
      <xdr:rowOff>85725</xdr:rowOff>
    </xdr:from>
    <xdr:ext cx="1951240" cy="505267"/>
    <xdr:sp macro="" textlink="">
      <xdr:nvSpPr>
        <xdr:cNvPr id="70681" name="Text Box 25"/>
        <xdr:cNvSpPr txBox="1">
          <a:spLocks noChangeArrowheads="1"/>
        </xdr:cNvSpPr>
      </xdr:nvSpPr>
      <xdr:spPr bwMode="auto">
        <a:xfrm>
          <a:off x="1611406" y="2819960"/>
          <a:ext cx="1951240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8000"/>
              </a:solidFill>
              <a:latin typeface="Arial"/>
              <a:cs typeface="Arial"/>
            </a:rPr>
            <a:t>54 g/s, 9.5 barg, 314K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8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17</xdr:col>
      <xdr:colOff>495300</xdr:colOff>
      <xdr:row>16</xdr:row>
      <xdr:rowOff>104775</xdr:rowOff>
    </xdr:from>
    <xdr:ext cx="2250681" cy="505267"/>
    <xdr:sp macro="" textlink="">
      <xdr:nvSpPr>
        <xdr:cNvPr id="70682" name="Text Box 26"/>
        <xdr:cNvSpPr txBox="1">
          <a:spLocks noChangeArrowheads="1"/>
        </xdr:cNvSpPr>
      </xdr:nvSpPr>
      <xdr:spPr bwMode="auto">
        <a:xfrm>
          <a:off x="9112624" y="2839010"/>
          <a:ext cx="2250681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8000"/>
              </a:solidFill>
              <a:latin typeface="Arial"/>
              <a:cs typeface="Arial"/>
            </a:rPr>
            <a:t>54 g/s, 9.45 barg, 294,5 K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8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104775</xdr:colOff>
      <xdr:row>33</xdr:row>
      <xdr:rowOff>0</xdr:rowOff>
    </xdr:from>
    <xdr:ext cx="184731" cy="623248"/>
    <xdr:sp macro="" textlink="">
      <xdr:nvSpPr>
        <xdr:cNvPr id="70683" name="Text Box 27"/>
        <xdr:cNvSpPr txBox="1">
          <a:spLocks noChangeArrowheads="1"/>
        </xdr:cNvSpPr>
      </xdr:nvSpPr>
      <xdr:spPr bwMode="auto">
        <a:xfrm>
          <a:off x="9360834" y="5401235"/>
          <a:ext cx="184731" cy="623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342900</xdr:colOff>
      <xdr:row>31</xdr:row>
      <xdr:rowOff>66675</xdr:rowOff>
    </xdr:from>
    <xdr:ext cx="1992853" cy="505267"/>
    <xdr:sp macro="" textlink="">
      <xdr:nvSpPr>
        <xdr:cNvPr id="70684" name="Text Box 28"/>
        <xdr:cNvSpPr txBox="1">
          <a:spLocks noChangeArrowheads="1"/>
        </xdr:cNvSpPr>
      </xdr:nvSpPr>
      <xdr:spPr bwMode="auto">
        <a:xfrm>
          <a:off x="9598959" y="5154146"/>
          <a:ext cx="1992853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2.5 m3/h, 3 barg, 15°C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647700</xdr:colOff>
      <xdr:row>26</xdr:row>
      <xdr:rowOff>0</xdr:rowOff>
    </xdr:from>
    <xdr:to>
      <xdr:col>14</xdr:col>
      <xdr:colOff>495300</xdr:colOff>
      <xdr:row>30</xdr:row>
      <xdr:rowOff>38100</xdr:rowOff>
    </xdr:to>
    <xdr:sp macro="" textlink="">
      <xdr:nvSpPr>
        <xdr:cNvPr id="70685" name="Rectangle 29"/>
        <xdr:cNvSpPr>
          <a:spLocks noChangeArrowheads="1"/>
        </xdr:cNvSpPr>
      </xdr:nvSpPr>
      <xdr:spPr bwMode="auto">
        <a:xfrm>
          <a:off x="4400550" y="4400550"/>
          <a:ext cx="3219450" cy="685800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Turbine </a:t>
          </a:r>
        </a:p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Exchanger</a:t>
          </a: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4</xdr:col>
      <xdr:colOff>276225</xdr:colOff>
      <xdr:row>25</xdr:row>
      <xdr:rowOff>0</xdr:rowOff>
    </xdr:from>
    <xdr:ext cx="1992853" cy="505267"/>
    <xdr:sp macro="" textlink="">
      <xdr:nvSpPr>
        <xdr:cNvPr id="70686" name="Text Box 30"/>
        <xdr:cNvSpPr txBox="1">
          <a:spLocks noChangeArrowheads="1"/>
        </xdr:cNvSpPr>
      </xdr:nvSpPr>
      <xdr:spPr bwMode="auto">
        <a:xfrm>
          <a:off x="1139078" y="4146176"/>
          <a:ext cx="1992853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2 m3/h, 3 barg, 17.5°C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4</xdr:col>
      <xdr:colOff>276225</xdr:colOff>
      <xdr:row>30</xdr:row>
      <xdr:rowOff>142875</xdr:rowOff>
    </xdr:from>
    <xdr:ext cx="2142574" cy="505267"/>
    <xdr:sp macro="" textlink="">
      <xdr:nvSpPr>
        <xdr:cNvPr id="70687" name="Text Box 31"/>
        <xdr:cNvSpPr txBox="1">
          <a:spLocks noChangeArrowheads="1"/>
        </xdr:cNvSpPr>
      </xdr:nvSpPr>
      <xdr:spPr bwMode="auto">
        <a:xfrm>
          <a:off x="1139078" y="5073463"/>
          <a:ext cx="2142574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0.5 m3/h, 3 barg, 17.5°C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76200</xdr:colOff>
      <xdr:row>22</xdr:row>
      <xdr:rowOff>47625</xdr:rowOff>
    </xdr:from>
    <xdr:to>
      <xdr:col>10</xdr:col>
      <xdr:colOff>85725</xdr:colOff>
      <xdr:row>42</xdr:row>
      <xdr:rowOff>47625</xdr:rowOff>
    </xdr:to>
    <xdr:sp macro="" textlink="">
      <xdr:nvSpPr>
        <xdr:cNvPr id="326959" name="Line 32"/>
        <xdr:cNvSpPr>
          <a:spLocks noChangeShapeType="1"/>
        </xdr:cNvSpPr>
      </xdr:nvSpPr>
      <xdr:spPr bwMode="auto">
        <a:xfrm flipV="1">
          <a:off x="3829050" y="3800475"/>
          <a:ext cx="9525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8</xdr:col>
      <xdr:colOff>476250</xdr:colOff>
      <xdr:row>24</xdr:row>
      <xdr:rowOff>9525</xdr:rowOff>
    </xdr:from>
    <xdr:to>
      <xdr:col>10</xdr:col>
      <xdr:colOff>85725</xdr:colOff>
      <xdr:row>25</xdr:row>
      <xdr:rowOff>0</xdr:rowOff>
    </xdr:to>
    <xdr:sp macro="" textlink="">
      <xdr:nvSpPr>
        <xdr:cNvPr id="326960" name="Line 33"/>
        <xdr:cNvSpPr>
          <a:spLocks noChangeShapeType="1"/>
        </xdr:cNvSpPr>
      </xdr:nvSpPr>
      <xdr:spPr bwMode="auto">
        <a:xfrm flipV="1">
          <a:off x="3038475" y="4086225"/>
          <a:ext cx="800100" cy="152400"/>
        </a:xfrm>
        <a:prstGeom prst="line">
          <a:avLst/>
        </a:prstGeom>
        <a:noFill/>
        <a:ln w="25400">
          <a:solidFill>
            <a:srgbClr val="00008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495300</xdr:colOff>
      <xdr:row>28</xdr:row>
      <xdr:rowOff>9525</xdr:rowOff>
    </xdr:from>
    <xdr:to>
      <xdr:col>10</xdr:col>
      <xdr:colOff>361950</xdr:colOff>
      <xdr:row>30</xdr:row>
      <xdr:rowOff>123825</xdr:rowOff>
    </xdr:to>
    <xdr:sp macro="" textlink="">
      <xdr:nvSpPr>
        <xdr:cNvPr id="326961" name="Line 34"/>
        <xdr:cNvSpPr>
          <a:spLocks noChangeShapeType="1"/>
        </xdr:cNvSpPr>
      </xdr:nvSpPr>
      <xdr:spPr bwMode="auto">
        <a:xfrm flipV="1">
          <a:off x="3619500" y="4733925"/>
          <a:ext cx="495300" cy="438150"/>
        </a:xfrm>
        <a:prstGeom prst="line">
          <a:avLst/>
        </a:prstGeom>
        <a:noFill/>
        <a:ln w="25400">
          <a:solidFill>
            <a:srgbClr val="00008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542925</xdr:colOff>
      <xdr:row>27</xdr:row>
      <xdr:rowOff>38100</xdr:rowOff>
    </xdr:from>
    <xdr:to>
      <xdr:col>17</xdr:col>
      <xdr:colOff>38100</xdr:colOff>
      <xdr:row>28</xdr:row>
      <xdr:rowOff>76200</xdr:rowOff>
    </xdr:to>
    <xdr:grpSp>
      <xdr:nvGrpSpPr>
        <xdr:cNvPr id="326962" name="Group 35"/>
        <xdr:cNvGrpSpPr>
          <a:grpSpLocks/>
        </xdr:cNvGrpSpPr>
      </xdr:nvGrpSpPr>
      <xdr:grpSpPr bwMode="auto">
        <a:xfrm rot="10800000" flipH="1" flipV="1">
          <a:off x="8343900" y="4600575"/>
          <a:ext cx="295275" cy="200025"/>
          <a:chOff x="702" y="2256"/>
          <a:chExt cx="130" cy="131"/>
        </a:xfrm>
      </xdr:grpSpPr>
      <xdr:grpSp>
        <xdr:nvGrpSpPr>
          <xdr:cNvPr id="326979" name="Group 36"/>
          <xdr:cNvGrpSpPr>
            <a:grpSpLocks/>
          </xdr:cNvGrpSpPr>
        </xdr:nvGrpSpPr>
        <xdr:grpSpPr bwMode="auto">
          <a:xfrm>
            <a:off x="720" y="2256"/>
            <a:ext cx="96" cy="96"/>
            <a:chOff x="672" y="2544"/>
            <a:chExt cx="96" cy="96"/>
          </a:xfrm>
        </xdr:grpSpPr>
        <xdr:sp macro="" textlink="">
          <xdr:nvSpPr>
            <xdr:cNvPr id="326981" name="Oval 37"/>
            <xdr:cNvSpPr>
              <a:spLocks noChangeArrowheads="1"/>
            </xdr:cNvSpPr>
          </xdr:nvSpPr>
          <xdr:spPr bwMode="auto">
            <a:xfrm>
              <a:off x="672" y="2544"/>
              <a:ext cx="96" cy="96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6982" name="Rectangle 38"/>
            <xdr:cNvSpPr>
              <a:spLocks noChangeArrowheads="1"/>
            </xdr:cNvSpPr>
          </xdr:nvSpPr>
          <xdr:spPr bwMode="auto">
            <a:xfrm>
              <a:off x="672" y="2592"/>
              <a:ext cx="96" cy="4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sp macro="" textlink="">
          <xdr:nvSpPr>
            <xdr:cNvPr id="326983" name="Line 39"/>
            <xdr:cNvSpPr>
              <a:spLocks noChangeShapeType="1"/>
            </xdr:cNvSpPr>
          </xdr:nvSpPr>
          <xdr:spPr bwMode="auto">
            <a:xfrm>
              <a:off x="720" y="2592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326980" name="AutoShape 40"/>
          <xdr:cNvSpPr>
            <a:spLocks noChangeArrowheads="1"/>
          </xdr:cNvSpPr>
        </xdr:nvSpPr>
        <xdr:spPr bwMode="auto">
          <a:xfrm rot="5400000">
            <a:off x="734" y="2290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542925</xdr:colOff>
      <xdr:row>21</xdr:row>
      <xdr:rowOff>76200</xdr:rowOff>
    </xdr:from>
    <xdr:to>
      <xdr:col>16</xdr:col>
      <xdr:colOff>209550</xdr:colOff>
      <xdr:row>22</xdr:row>
      <xdr:rowOff>123825</xdr:rowOff>
    </xdr:to>
    <xdr:grpSp>
      <xdr:nvGrpSpPr>
        <xdr:cNvPr id="326963" name="Group 41"/>
        <xdr:cNvGrpSpPr>
          <a:grpSpLocks/>
        </xdr:cNvGrpSpPr>
      </xdr:nvGrpSpPr>
      <xdr:grpSpPr bwMode="auto">
        <a:xfrm rot="10800000" flipH="1" flipV="1">
          <a:off x="8343900" y="3667125"/>
          <a:ext cx="247650" cy="209550"/>
          <a:chOff x="702" y="2256"/>
          <a:chExt cx="130" cy="131"/>
        </a:xfrm>
      </xdr:grpSpPr>
      <xdr:grpSp>
        <xdr:nvGrpSpPr>
          <xdr:cNvPr id="326974" name="Group 42"/>
          <xdr:cNvGrpSpPr>
            <a:grpSpLocks/>
          </xdr:cNvGrpSpPr>
        </xdr:nvGrpSpPr>
        <xdr:grpSpPr bwMode="auto">
          <a:xfrm>
            <a:off x="720" y="2256"/>
            <a:ext cx="96" cy="96"/>
            <a:chOff x="672" y="2544"/>
            <a:chExt cx="96" cy="96"/>
          </a:xfrm>
        </xdr:grpSpPr>
        <xdr:sp macro="" textlink="">
          <xdr:nvSpPr>
            <xdr:cNvPr id="326976" name="Oval 43"/>
            <xdr:cNvSpPr>
              <a:spLocks noChangeArrowheads="1"/>
            </xdr:cNvSpPr>
          </xdr:nvSpPr>
          <xdr:spPr bwMode="auto">
            <a:xfrm>
              <a:off x="672" y="2544"/>
              <a:ext cx="96" cy="96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6977" name="Rectangle 44"/>
            <xdr:cNvSpPr>
              <a:spLocks noChangeArrowheads="1"/>
            </xdr:cNvSpPr>
          </xdr:nvSpPr>
          <xdr:spPr bwMode="auto">
            <a:xfrm>
              <a:off x="672" y="2592"/>
              <a:ext cx="96" cy="4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sp macro="" textlink="">
          <xdr:nvSpPr>
            <xdr:cNvPr id="326978" name="Line 45"/>
            <xdr:cNvSpPr>
              <a:spLocks noChangeShapeType="1"/>
            </xdr:cNvSpPr>
          </xdr:nvSpPr>
          <xdr:spPr bwMode="auto">
            <a:xfrm>
              <a:off x="720" y="2592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326975" name="AutoShape 46"/>
          <xdr:cNvSpPr>
            <a:spLocks noChangeArrowheads="1"/>
          </xdr:cNvSpPr>
        </xdr:nvSpPr>
        <xdr:spPr bwMode="auto">
          <a:xfrm rot="5400000">
            <a:off x="734" y="2290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609600</xdr:colOff>
      <xdr:row>16</xdr:row>
      <xdr:rowOff>114300</xdr:rowOff>
    </xdr:from>
    <xdr:to>
      <xdr:col>14</xdr:col>
      <xdr:colOff>523875</xdr:colOff>
      <xdr:row>16</xdr:row>
      <xdr:rowOff>114300</xdr:rowOff>
    </xdr:to>
    <xdr:sp macro="" textlink="">
      <xdr:nvSpPr>
        <xdr:cNvPr id="326964" name="Line 47"/>
        <xdr:cNvSpPr>
          <a:spLocks noChangeShapeType="1"/>
        </xdr:cNvSpPr>
      </xdr:nvSpPr>
      <xdr:spPr bwMode="auto">
        <a:xfrm>
          <a:off x="4362450" y="2895600"/>
          <a:ext cx="3286125" cy="0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11</xdr:col>
      <xdr:colOff>219075</xdr:colOff>
      <xdr:row>15</xdr:row>
      <xdr:rowOff>38100</xdr:rowOff>
    </xdr:from>
    <xdr:to>
      <xdr:col>12</xdr:col>
      <xdr:colOff>714375</xdr:colOff>
      <xdr:row>17</xdr:row>
      <xdr:rowOff>9525</xdr:rowOff>
    </xdr:to>
    <xdr:sp macro="" textlink="">
      <xdr:nvSpPr>
        <xdr:cNvPr id="70704" name="Text Box 48"/>
        <xdr:cNvSpPr txBox="1">
          <a:spLocks noChangeArrowheads="1"/>
        </xdr:cNvSpPr>
      </xdr:nvSpPr>
      <xdr:spPr bwMode="auto">
        <a:xfrm>
          <a:off x="4867275" y="2657475"/>
          <a:ext cx="1314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Pmax= 50mbar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55</xdr:row>
      <xdr:rowOff>9525</xdr:rowOff>
    </xdr:from>
    <xdr:to>
      <xdr:col>15</xdr:col>
      <xdr:colOff>9525</xdr:colOff>
      <xdr:row>64</xdr:row>
      <xdr:rowOff>0</xdr:rowOff>
    </xdr:to>
    <xdr:sp macro="" textlink="">
      <xdr:nvSpPr>
        <xdr:cNvPr id="326966" name="Rectangle 49"/>
        <xdr:cNvSpPr>
          <a:spLocks noChangeArrowheads="1"/>
        </xdr:cNvSpPr>
      </xdr:nvSpPr>
      <xdr:spPr bwMode="auto">
        <a:xfrm>
          <a:off x="5467350" y="9153525"/>
          <a:ext cx="2343150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161925</xdr:colOff>
      <xdr:row>56</xdr:row>
      <xdr:rowOff>85725</xdr:rowOff>
    </xdr:from>
    <xdr:to>
      <xdr:col>15</xdr:col>
      <xdr:colOff>609600</xdr:colOff>
      <xdr:row>56</xdr:row>
      <xdr:rowOff>85725</xdr:rowOff>
    </xdr:to>
    <xdr:sp macro="" textlink="">
      <xdr:nvSpPr>
        <xdr:cNvPr id="326967" name="Line 50"/>
        <xdr:cNvSpPr>
          <a:spLocks noChangeShapeType="1"/>
        </xdr:cNvSpPr>
      </xdr:nvSpPr>
      <xdr:spPr bwMode="auto">
        <a:xfrm>
          <a:off x="4810125" y="9391650"/>
          <a:ext cx="357187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123825</xdr:colOff>
      <xdr:row>62</xdr:row>
      <xdr:rowOff>85725</xdr:rowOff>
    </xdr:from>
    <xdr:to>
      <xdr:col>15</xdr:col>
      <xdr:colOff>571500</xdr:colOff>
      <xdr:row>62</xdr:row>
      <xdr:rowOff>85725</xdr:rowOff>
    </xdr:to>
    <xdr:sp macro="" textlink="">
      <xdr:nvSpPr>
        <xdr:cNvPr id="326968" name="Line 51"/>
        <xdr:cNvSpPr>
          <a:spLocks noChangeShapeType="1"/>
        </xdr:cNvSpPr>
      </xdr:nvSpPr>
      <xdr:spPr bwMode="auto">
        <a:xfrm>
          <a:off x="4772025" y="10363200"/>
          <a:ext cx="3600450" cy="0"/>
        </a:xfrm>
        <a:prstGeom prst="line">
          <a:avLst/>
        </a:prstGeom>
        <a:noFill/>
        <a:ln w="38100">
          <a:solidFill>
            <a:srgbClr val="0000FF"/>
          </a:solidFill>
          <a:round/>
          <a:headEnd type="triangle" w="med" len="med"/>
          <a:tailEnd/>
        </a:ln>
      </xdr:spPr>
    </xdr:sp>
    <xdr:clientData/>
  </xdr:twoCellAnchor>
  <xdr:twoCellAnchor>
    <xdr:from>
      <xdr:col>12</xdr:col>
      <xdr:colOff>9525</xdr:colOff>
      <xdr:row>55</xdr:row>
      <xdr:rowOff>57150</xdr:rowOff>
    </xdr:from>
    <xdr:to>
      <xdr:col>14</xdr:col>
      <xdr:colOff>752475</xdr:colOff>
      <xdr:row>56</xdr:row>
      <xdr:rowOff>152400</xdr:rowOff>
    </xdr:to>
    <xdr:sp macro="" textlink="">
      <xdr:nvSpPr>
        <xdr:cNvPr id="70708" name="Text Box 52"/>
        <xdr:cNvSpPr txBox="1">
          <a:spLocks noChangeArrowheads="1"/>
        </xdr:cNvSpPr>
      </xdr:nvSpPr>
      <xdr:spPr bwMode="auto">
        <a:xfrm>
          <a:off x="5476875" y="920115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HELIUM</a:t>
          </a:r>
        </a:p>
      </xdr:txBody>
    </xdr:sp>
    <xdr:clientData/>
  </xdr:twoCellAnchor>
  <xdr:twoCellAnchor>
    <xdr:from>
      <xdr:col>12</xdr:col>
      <xdr:colOff>9525</xdr:colOff>
      <xdr:row>60</xdr:row>
      <xdr:rowOff>152400</xdr:rowOff>
    </xdr:from>
    <xdr:to>
      <xdr:col>14</xdr:col>
      <xdr:colOff>752475</xdr:colOff>
      <xdr:row>62</xdr:row>
      <xdr:rowOff>85725</xdr:rowOff>
    </xdr:to>
    <xdr:sp macro="" textlink="">
      <xdr:nvSpPr>
        <xdr:cNvPr id="70709" name="Text Box 53"/>
        <xdr:cNvSpPr txBox="1">
          <a:spLocks noChangeArrowheads="1"/>
        </xdr:cNvSpPr>
      </xdr:nvSpPr>
      <xdr:spPr bwMode="auto">
        <a:xfrm>
          <a:off x="5476875" y="10106025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WATER</a:t>
          </a:r>
        </a:p>
      </xdr:txBody>
    </xdr:sp>
    <xdr:clientData/>
  </xdr:twoCellAnchor>
  <xdr:twoCellAnchor>
    <xdr:from>
      <xdr:col>12</xdr:col>
      <xdr:colOff>47625</xdr:colOff>
      <xdr:row>52</xdr:row>
      <xdr:rowOff>66675</xdr:rowOff>
    </xdr:from>
    <xdr:to>
      <xdr:col>15</xdr:col>
      <xdr:colOff>38100</xdr:colOff>
      <xdr:row>54</xdr:row>
      <xdr:rowOff>0</xdr:rowOff>
    </xdr:to>
    <xdr:sp macro="" textlink="">
      <xdr:nvSpPr>
        <xdr:cNvPr id="70710" name="Text Box 54"/>
        <xdr:cNvSpPr txBox="1">
          <a:spLocks noChangeArrowheads="1"/>
        </xdr:cNvSpPr>
      </xdr:nvSpPr>
      <xdr:spPr bwMode="auto">
        <a:xfrm>
          <a:off x="5514975" y="872490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Pmax = 50 mbar</a:t>
          </a:r>
        </a:p>
      </xdr:txBody>
    </xdr:sp>
    <xdr:clientData/>
  </xdr:twoCellAnchor>
  <xdr:twoCellAnchor>
    <xdr:from>
      <xdr:col>11</xdr:col>
      <xdr:colOff>161925</xdr:colOff>
      <xdr:row>53</xdr:row>
      <xdr:rowOff>142875</xdr:rowOff>
    </xdr:from>
    <xdr:to>
      <xdr:col>16</xdr:col>
      <xdr:colOff>0</xdr:colOff>
      <xdr:row>53</xdr:row>
      <xdr:rowOff>142875</xdr:rowOff>
    </xdr:to>
    <xdr:sp macro="" textlink="">
      <xdr:nvSpPr>
        <xdr:cNvPr id="326972" name="Line 55"/>
        <xdr:cNvSpPr>
          <a:spLocks noChangeShapeType="1"/>
        </xdr:cNvSpPr>
      </xdr:nvSpPr>
      <xdr:spPr bwMode="auto">
        <a:xfrm>
          <a:off x="4810125" y="8963025"/>
          <a:ext cx="3571875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304800</xdr:colOff>
      <xdr:row>52</xdr:row>
      <xdr:rowOff>104775</xdr:rowOff>
    </xdr:from>
    <xdr:to>
      <xdr:col>7</xdr:col>
      <xdr:colOff>466725</xdr:colOff>
      <xdr:row>60</xdr:row>
      <xdr:rowOff>152400</xdr:rowOff>
    </xdr:to>
    <xdr:sp macro="" textlink="">
      <xdr:nvSpPr>
        <xdr:cNvPr id="326973" name="AutoShape 63"/>
        <xdr:cNvSpPr>
          <a:spLocks/>
        </xdr:cNvSpPr>
      </xdr:nvSpPr>
      <xdr:spPr bwMode="auto">
        <a:xfrm>
          <a:off x="2228850" y="8763000"/>
          <a:ext cx="161925" cy="1343025"/>
        </a:xfrm>
        <a:prstGeom prst="leftBrace">
          <a:avLst>
            <a:gd name="adj1" fmla="val 6911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78919" name="Group 1"/>
        <xdr:cNvGrpSpPr>
          <a:grpSpLocks/>
        </xdr:cNvGrpSpPr>
      </xdr:nvGrpSpPr>
      <xdr:grpSpPr bwMode="auto">
        <a:xfrm>
          <a:off x="246289" y="194582"/>
          <a:ext cx="1291318" cy="366032"/>
          <a:chOff x="2448" y="3888"/>
          <a:chExt cx="1815" cy="540"/>
        </a:xfrm>
      </xdr:grpSpPr>
      <xdr:pic>
        <xdr:nvPicPr>
          <xdr:cNvPr id="78920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8851" name="WordArt 3"/>
          <xdr:cNvSpPr>
            <a:spLocks noChangeAspect="1" noChangeArrowheads="1" noChangeShapeType="1" noTextEdit="1"/>
          </xdr:cNvSpPr>
        </xdr:nvSpPr>
        <xdr:spPr bwMode="auto">
          <a:xfrm>
            <a:off x="3125" y="4371"/>
            <a:ext cx="1124" cy="57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81079" name="Group 1"/>
        <xdr:cNvGrpSpPr>
          <a:grpSpLocks/>
        </xdr:cNvGrpSpPr>
      </xdr:nvGrpSpPr>
      <xdr:grpSpPr bwMode="auto">
        <a:xfrm>
          <a:off x="246289" y="194582"/>
          <a:ext cx="842282" cy="406854"/>
          <a:chOff x="2448" y="3888"/>
          <a:chExt cx="1815" cy="540"/>
        </a:xfrm>
      </xdr:grpSpPr>
      <xdr:pic>
        <xdr:nvPicPr>
          <xdr:cNvPr id="81083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0899" name="WordArt 3"/>
          <xdr:cNvSpPr>
            <a:spLocks noChangeAspect="1" noChangeArrowheads="1" noChangeShapeType="1" noTextEdit="1"/>
          </xdr:cNvSpPr>
        </xdr:nvSpPr>
        <xdr:spPr bwMode="auto">
          <a:xfrm>
            <a:off x="3129" y="4364"/>
            <a:ext cx="1134" cy="51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  <xdr:twoCellAnchor>
    <xdr:from>
      <xdr:col>11</xdr:col>
      <xdr:colOff>9525</xdr:colOff>
      <xdr:row>97</xdr:row>
      <xdr:rowOff>123825</xdr:rowOff>
    </xdr:from>
    <xdr:to>
      <xdr:col>12</xdr:col>
      <xdr:colOff>0</xdr:colOff>
      <xdr:row>97</xdr:row>
      <xdr:rowOff>123825</xdr:rowOff>
    </xdr:to>
    <xdr:sp macro="" textlink="">
      <xdr:nvSpPr>
        <xdr:cNvPr id="81080" name="Line 4"/>
        <xdr:cNvSpPr>
          <a:spLocks noChangeShapeType="1"/>
        </xdr:cNvSpPr>
      </xdr:nvSpPr>
      <xdr:spPr bwMode="auto">
        <a:xfrm>
          <a:off x="5086350" y="1908810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</xdr:colOff>
      <xdr:row>104</xdr:row>
      <xdr:rowOff>123825</xdr:rowOff>
    </xdr:from>
    <xdr:to>
      <xdr:col>12</xdr:col>
      <xdr:colOff>0</xdr:colOff>
      <xdr:row>104</xdr:row>
      <xdr:rowOff>123825</xdr:rowOff>
    </xdr:to>
    <xdr:sp macro="" textlink="">
      <xdr:nvSpPr>
        <xdr:cNvPr id="81081" name="Line 5"/>
        <xdr:cNvSpPr>
          <a:spLocks noChangeShapeType="1"/>
        </xdr:cNvSpPr>
      </xdr:nvSpPr>
      <xdr:spPr bwMode="auto">
        <a:xfrm>
          <a:off x="5086350" y="204882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7</xdr:col>
      <xdr:colOff>76200</xdr:colOff>
      <xdr:row>34</xdr:row>
      <xdr:rowOff>104775</xdr:rowOff>
    </xdr:from>
    <xdr:to>
      <xdr:col>10</xdr:col>
      <xdr:colOff>76200</xdr:colOff>
      <xdr:row>37</xdr:row>
      <xdr:rowOff>152400</xdr:rowOff>
    </xdr:to>
    <xdr:pic>
      <xdr:nvPicPr>
        <xdr:cNvPr id="81082" name="Picture 4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2100" y="6610350"/>
          <a:ext cx="2667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239540" name="Group 1"/>
        <xdr:cNvGrpSpPr>
          <a:grpSpLocks/>
        </xdr:cNvGrpSpPr>
      </xdr:nvGrpSpPr>
      <xdr:grpSpPr bwMode="auto">
        <a:xfrm>
          <a:off x="247090" y="186578"/>
          <a:ext cx="1288116" cy="352425"/>
          <a:chOff x="2448" y="3888"/>
          <a:chExt cx="1815" cy="540"/>
        </a:xfrm>
      </xdr:grpSpPr>
      <xdr:pic>
        <xdr:nvPicPr>
          <xdr:cNvPr id="391174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1683" name="WordArt 3"/>
          <xdr:cNvSpPr>
            <a:spLocks noChangeAspect="1" noChangeArrowheads="1" noChangeShapeType="1" noTextEdit="1"/>
          </xdr:cNvSpPr>
        </xdr:nvSpPr>
        <xdr:spPr bwMode="auto">
          <a:xfrm>
            <a:off x="3125" y="4371"/>
            <a:ext cx="1124" cy="57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  <xdr:twoCellAnchor>
    <xdr:from>
      <xdr:col>4</xdr:col>
      <xdr:colOff>323850</xdr:colOff>
      <xdr:row>119</xdr:row>
      <xdr:rowOff>0</xdr:rowOff>
    </xdr:from>
    <xdr:to>
      <xdr:col>4</xdr:col>
      <xdr:colOff>323850</xdr:colOff>
      <xdr:row>119</xdr:row>
      <xdr:rowOff>0</xdr:rowOff>
    </xdr:to>
    <xdr:sp macro="" textlink="">
      <xdr:nvSpPr>
        <xdr:cNvPr id="239541" name="Line 8"/>
        <xdr:cNvSpPr>
          <a:spLocks noChangeShapeType="1"/>
        </xdr:cNvSpPr>
      </xdr:nvSpPr>
      <xdr:spPr bwMode="auto">
        <a:xfrm>
          <a:off x="1181100" y="2000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228600</xdr:colOff>
      <xdr:row>33</xdr:row>
      <xdr:rowOff>85725</xdr:rowOff>
    </xdr:from>
    <xdr:to>
      <xdr:col>13</xdr:col>
      <xdr:colOff>266700</xdr:colOff>
      <xdr:row>37</xdr:row>
      <xdr:rowOff>85725</xdr:rowOff>
    </xdr:to>
    <xdr:sp macro="" textlink="">
      <xdr:nvSpPr>
        <xdr:cNvPr id="239542" name="Rectangle 12"/>
        <xdr:cNvSpPr>
          <a:spLocks noChangeArrowheads="1"/>
        </xdr:cNvSpPr>
      </xdr:nvSpPr>
      <xdr:spPr bwMode="auto">
        <a:xfrm>
          <a:off x="4819650" y="5619750"/>
          <a:ext cx="2057400" cy="647700"/>
        </a:xfrm>
        <a:prstGeom prst="rect">
          <a:avLst/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34</xdr:row>
      <xdr:rowOff>95250</xdr:rowOff>
    </xdr:from>
    <xdr:to>
      <xdr:col>12</xdr:col>
      <xdr:colOff>962025</xdr:colOff>
      <xdr:row>36</xdr:row>
      <xdr:rowOff>57150</xdr:rowOff>
    </xdr:to>
    <xdr:sp macro="" textlink="">
      <xdr:nvSpPr>
        <xdr:cNvPr id="239543" name="AutoShape 13"/>
        <xdr:cNvSpPr>
          <a:spLocks noChangeArrowheads="1"/>
        </xdr:cNvSpPr>
      </xdr:nvSpPr>
      <xdr:spPr bwMode="auto">
        <a:xfrm rot="5400000">
          <a:off x="5876925" y="5581650"/>
          <a:ext cx="285750" cy="70485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35</xdr:row>
      <xdr:rowOff>85725</xdr:rowOff>
    </xdr:from>
    <xdr:to>
      <xdr:col>18</xdr:col>
      <xdr:colOff>200025</xdr:colOff>
      <xdr:row>35</xdr:row>
      <xdr:rowOff>85725</xdr:rowOff>
    </xdr:to>
    <xdr:sp macro="" textlink="">
      <xdr:nvSpPr>
        <xdr:cNvPr id="239544" name="Line 14"/>
        <xdr:cNvSpPr>
          <a:spLocks noChangeShapeType="1"/>
        </xdr:cNvSpPr>
      </xdr:nvSpPr>
      <xdr:spPr bwMode="auto">
        <a:xfrm>
          <a:off x="3914775" y="5943600"/>
          <a:ext cx="561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228600</xdr:colOff>
      <xdr:row>40</xdr:row>
      <xdr:rowOff>28575</xdr:rowOff>
    </xdr:from>
    <xdr:to>
      <xdr:col>13</xdr:col>
      <xdr:colOff>266700</xdr:colOff>
      <xdr:row>44</xdr:row>
      <xdr:rowOff>38100</xdr:rowOff>
    </xdr:to>
    <xdr:sp macro="" textlink="">
      <xdr:nvSpPr>
        <xdr:cNvPr id="239545" name="Rectangle 15"/>
        <xdr:cNvSpPr>
          <a:spLocks noChangeArrowheads="1"/>
        </xdr:cNvSpPr>
      </xdr:nvSpPr>
      <xdr:spPr bwMode="auto">
        <a:xfrm>
          <a:off x="4819650" y="6696075"/>
          <a:ext cx="2057400" cy="657225"/>
        </a:xfrm>
        <a:prstGeom prst="rect">
          <a:avLst/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41</xdr:row>
      <xdr:rowOff>38100</xdr:rowOff>
    </xdr:from>
    <xdr:to>
      <xdr:col>12</xdr:col>
      <xdr:colOff>962025</xdr:colOff>
      <xdr:row>43</xdr:row>
      <xdr:rowOff>0</xdr:rowOff>
    </xdr:to>
    <xdr:sp macro="" textlink="">
      <xdr:nvSpPr>
        <xdr:cNvPr id="239546" name="AutoShape 16"/>
        <xdr:cNvSpPr>
          <a:spLocks noChangeArrowheads="1"/>
        </xdr:cNvSpPr>
      </xdr:nvSpPr>
      <xdr:spPr bwMode="auto">
        <a:xfrm rot="5400000">
          <a:off x="5876925" y="6657975"/>
          <a:ext cx="285750" cy="70485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42</xdr:row>
      <xdr:rowOff>28575</xdr:rowOff>
    </xdr:from>
    <xdr:to>
      <xdr:col>18</xdr:col>
      <xdr:colOff>190500</xdr:colOff>
      <xdr:row>42</xdr:row>
      <xdr:rowOff>28575</xdr:rowOff>
    </xdr:to>
    <xdr:sp macro="" textlink="">
      <xdr:nvSpPr>
        <xdr:cNvPr id="239547" name="Line 17"/>
        <xdr:cNvSpPr>
          <a:spLocks noChangeShapeType="1"/>
        </xdr:cNvSpPr>
      </xdr:nvSpPr>
      <xdr:spPr bwMode="auto">
        <a:xfrm>
          <a:off x="3914775" y="7019925"/>
          <a:ext cx="560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200025</xdr:colOff>
      <xdr:row>22</xdr:row>
      <xdr:rowOff>47625</xdr:rowOff>
    </xdr:from>
    <xdr:to>
      <xdr:col>18</xdr:col>
      <xdr:colOff>209550</xdr:colOff>
      <xdr:row>42</xdr:row>
      <xdr:rowOff>47625</xdr:rowOff>
    </xdr:to>
    <xdr:sp macro="" textlink="">
      <xdr:nvSpPr>
        <xdr:cNvPr id="239548" name="Line 18"/>
        <xdr:cNvSpPr>
          <a:spLocks noChangeShapeType="1"/>
        </xdr:cNvSpPr>
      </xdr:nvSpPr>
      <xdr:spPr bwMode="auto">
        <a:xfrm flipV="1">
          <a:off x="9525000" y="3800475"/>
          <a:ext cx="9525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22</xdr:row>
      <xdr:rowOff>47625</xdr:rowOff>
    </xdr:from>
    <xdr:to>
      <xdr:col>18</xdr:col>
      <xdr:colOff>209550</xdr:colOff>
      <xdr:row>22</xdr:row>
      <xdr:rowOff>47625</xdr:rowOff>
    </xdr:to>
    <xdr:sp macro="" textlink="">
      <xdr:nvSpPr>
        <xdr:cNvPr id="239549" name="Line 19"/>
        <xdr:cNvSpPr>
          <a:spLocks noChangeShapeType="1"/>
        </xdr:cNvSpPr>
      </xdr:nvSpPr>
      <xdr:spPr bwMode="auto">
        <a:xfrm flipH="1">
          <a:off x="3933825" y="3800475"/>
          <a:ext cx="560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19</xdr:row>
      <xdr:rowOff>104775</xdr:rowOff>
    </xdr:from>
    <xdr:to>
      <xdr:col>19</xdr:col>
      <xdr:colOff>409575</xdr:colOff>
      <xdr:row>19</xdr:row>
      <xdr:rowOff>104775</xdr:rowOff>
    </xdr:to>
    <xdr:sp macro="" textlink="">
      <xdr:nvSpPr>
        <xdr:cNvPr id="239550" name="Line 20"/>
        <xdr:cNvSpPr>
          <a:spLocks noChangeShapeType="1"/>
        </xdr:cNvSpPr>
      </xdr:nvSpPr>
      <xdr:spPr bwMode="auto">
        <a:xfrm>
          <a:off x="3562350" y="3371850"/>
          <a:ext cx="705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647700</xdr:colOff>
      <xdr:row>18</xdr:row>
      <xdr:rowOff>123825</xdr:rowOff>
    </xdr:from>
    <xdr:to>
      <xdr:col>14</xdr:col>
      <xdr:colOff>495300</xdr:colOff>
      <xdr:row>23</xdr:row>
      <xdr:rowOff>28575</xdr:rowOff>
    </xdr:to>
    <xdr:sp macro="" textlink="">
      <xdr:nvSpPr>
        <xdr:cNvPr id="71701" name="Rectangle 21"/>
        <xdr:cNvSpPr>
          <a:spLocks noChangeArrowheads="1"/>
        </xdr:cNvSpPr>
      </xdr:nvSpPr>
      <xdr:spPr bwMode="auto">
        <a:xfrm>
          <a:off x="4495800" y="3228975"/>
          <a:ext cx="3067050" cy="714375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Aftercooler</a:t>
          </a: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85725</xdr:colOff>
      <xdr:row>28</xdr:row>
      <xdr:rowOff>9525</xdr:rowOff>
    </xdr:from>
    <xdr:to>
      <xdr:col>18</xdr:col>
      <xdr:colOff>209550</xdr:colOff>
      <xdr:row>28</xdr:row>
      <xdr:rowOff>9525</xdr:rowOff>
    </xdr:to>
    <xdr:sp macro="" textlink="">
      <xdr:nvSpPr>
        <xdr:cNvPr id="239552" name="Line 22"/>
        <xdr:cNvSpPr>
          <a:spLocks noChangeShapeType="1"/>
        </xdr:cNvSpPr>
      </xdr:nvSpPr>
      <xdr:spPr bwMode="auto">
        <a:xfrm flipH="1">
          <a:off x="3933825" y="4733925"/>
          <a:ext cx="560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11</xdr:col>
      <xdr:colOff>219075</xdr:colOff>
      <xdr:row>32</xdr:row>
      <xdr:rowOff>47625</xdr:rowOff>
    </xdr:from>
    <xdr:to>
      <xdr:col>12</xdr:col>
      <xdr:colOff>714375</xdr:colOff>
      <xdr:row>34</xdr:row>
      <xdr:rowOff>19050</xdr:rowOff>
    </xdr:to>
    <xdr:sp macro="" textlink="">
      <xdr:nvSpPr>
        <xdr:cNvPr id="71703" name="Text Box 23"/>
        <xdr:cNvSpPr txBox="1">
          <a:spLocks noChangeArrowheads="1"/>
        </xdr:cNvSpPr>
      </xdr:nvSpPr>
      <xdr:spPr bwMode="auto">
        <a:xfrm>
          <a:off x="4810125" y="5419725"/>
          <a:ext cx="1314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New Chiller unit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11</xdr:col>
      <xdr:colOff>152400</xdr:colOff>
      <xdr:row>38</xdr:row>
      <xdr:rowOff>104775</xdr:rowOff>
    </xdr:from>
    <xdr:ext cx="1361976" cy="505267"/>
    <xdr:sp macro="" textlink="">
      <xdr:nvSpPr>
        <xdr:cNvPr id="71704" name="Text Box 24"/>
        <xdr:cNvSpPr txBox="1">
          <a:spLocks noChangeArrowheads="1"/>
        </xdr:cNvSpPr>
      </xdr:nvSpPr>
      <xdr:spPr bwMode="auto">
        <a:xfrm>
          <a:off x="4746812" y="6290422"/>
          <a:ext cx="1361976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Old Chiller unit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104775</xdr:colOff>
      <xdr:row>16</xdr:row>
      <xdr:rowOff>104775</xdr:rowOff>
    </xdr:from>
    <xdr:ext cx="1951240" cy="505267"/>
    <xdr:sp macro="" textlink="">
      <xdr:nvSpPr>
        <xdr:cNvPr id="71705" name="Text Box 25"/>
        <xdr:cNvSpPr txBox="1">
          <a:spLocks noChangeArrowheads="1"/>
        </xdr:cNvSpPr>
      </xdr:nvSpPr>
      <xdr:spPr bwMode="auto">
        <a:xfrm>
          <a:off x="1639981" y="2839010"/>
          <a:ext cx="1951240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8000"/>
              </a:solidFill>
              <a:latin typeface="Arial"/>
              <a:cs typeface="Arial"/>
            </a:rPr>
            <a:t>54 g/s, 9.5 barg, 314K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8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17</xdr:col>
      <xdr:colOff>485775</xdr:colOff>
      <xdr:row>16</xdr:row>
      <xdr:rowOff>104775</xdr:rowOff>
    </xdr:from>
    <xdr:ext cx="2250681" cy="505267"/>
    <xdr:sp macro="" textlink="">
      <xdr:nvSpPr>
        <xdr:cNvPr id="71706" name="Text Box 26"/>
        <xdr:cNvSpPr txBox="1">
          <a:spLocks noChangeArrowheads="1"/>
        </xdr:cNvSpPr>
      </xdr:nvSpPr>
      <xdr:spPr bwMode="auto">
        <a:xfrm>
          <a:off x="9159128" y="2839010"/>
          <a:ext cx="2250681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008000"/>
              </a:solidFill>
              <a:latin typeface="Arial"/>
              <a:cs typeface="Arial"/>
            </a:rPr>
            <a:t>54 g/s, 9.45 barg, 294,5 K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8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104775</xdr:colOff>
      <xdr:row>33</xdr:row>
      <xdr:rowOff>0</xdr:rowOff>
    </xdr:from>
    <xdr:ext cx="184731" cy="623248"/>
    <xdr:sp macro="" textlink="">
      <xdr:nvSpPr>
        <xdr:cNvPr id="71707" name="Text Box 27"/>
        <xdr:cNvSpPr txBox="1">
          <a:spLocks noChangeArrowheads="1"/>
        </xdr:cNvSpPr>
      </xdr:nvSpPr>
      <xdr:spPr bwMode="auto">
        <a:xfrm>
          <a:off x="9439275" y="5401235"/>
          <a:ext cx="184731" cy="623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18</xdr:col>
      <xdr:colOff>342900</xdr:colOff>
      <xdr:row>31</xdr:row>
      <xdr:rowOff>66675</xdr:rowOff>
    </xdr:from>
    <xdr:ext cx="1992853" cy="505267"/>
    <xdr:sp macro="" textlink="">
      <xdr:nvSpPr>
        <xdr:cNvPr id="71708" name="Text Box 28"/>
        <xdr:cNvSpPr txBox="1">
          <a:spLocks noChangeArrowheads="1"/>
        </xdr:cNvSpPr>
      </xdr:nvSpPr>
      <xdr:spPr bwMode="auto">
        <a:xfrm>
          <a:off x="9677400" y="5154146"/>
          <a:ext cx="1992853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2.5 m3/h, 3 barg, 15°C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647700</xdr:colOff>
      <xdr:row>26</xdr:row>
      <xdr:rowOff>0</xdr:rowOff>
    </xdr:from>
    <xdr:to>
      <xdr:col>14</xdr:col>
      <xdr:colOff>495300</xdr:colOff>
      <xdr:row>30</xdr:row>
      <xdr:rowOff>38100</xdr:rowOff>
    </xdr:to>
    <xdr:sp macro="" textlink="">
      <xdr:nvSpPr>
        <xdr:cNvPr id="71709" name="Rectangle 29"/>
        <xdr:cNvSpPr>
          <a:spLocks noChangeArrowheads="1"/>
        </xdr:cNvSpPr>
      </xdr:nvSpPr>
      <xdr:spPr bwMode="auto">
        <a:xfrm>
          <a:off x="4495800" y="4400550"/>
          <a:ext cx="3067050" cy="685800"/>
        </a:xfrm>
        <a:prstGeom prst="rect">
          <a:avLst/>
        </a:prstGeom>
        <a:solidFill>
          <a:srgbClr val="33996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Turbine </a:t>
          </a:r>
        </a:p>
        <a:p>
          <a:pPr algn="l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Exchanger</a:t>
          </a:r>
        </a:p>
        <a:p>
          <a:pPr algn="l" rtl="0">
            <a:defRPr sz="1000"/>
          </a:pPr>
          <a:endParaRPr lang="fr-FR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4</xdr:col>
      <xdr:colOff>295275</xdr:colOff>
      <xdr:row>25</xdr:row>
      <xdr:rowOff>0</xdr:rowOff>
    </xdr:from>
    <xdr:ext cx="1992853" cy="505267"/>
    <xdr:sp macro="" textlink="">
      <xdr:nvSpPr>
        <xdr:cNvPr id="71710" name="Text Box 30"/>
        <xdr:cNvSpPr txBox="1">
          <a:spLocks noChangeArrowheads="1"/>
        </xdr:cNvSpPr>
      </xdr:nvSpPr>
      <xdr:spPr bwMode="auto">
        <a:xfrm>
          <a:off x="1158128" y="4146176"/>
          <a:ext cx="1992853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2 m3/h, 3 barg, 17.5°C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4</xdr:col>
      <xdr:colOff>295275</xdr:colOff>
      <xdr:row>31</xdr:row>
      <xdr:rowOff>0</xdr:rowOff>
    </xdr:from>
    <xdr:ext cx="2142574" cy="505267"/>
    <xdr:sp macro="" textlink="">
      <xdr:nvSpPr>
        <xdr:cNvPr id="71711" name="Text Box 31"/>
        <xdr:cNvSpPr txBox="1">
          <a:spLocks noChangeArrowheads="1"/>
        </xdr:cNvSpPr>
      </xdr:nvSpPr>
      <xdr:spPr bwMode="auto">
        <a:xfrm>
          <a:off x="1158128" y="5087471"/>
          <a:ext cx="2142574" cy="505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400" b="0" i="0" u="none" strike="noStrike" baseline="0">
              <a:solidFill>
                <a:srgbClr val="333399"/>
              </a:solidFill>
              <a:latin typeface="Arial"/>
              <a:cs typeface="Arial"/>
            </a:rPr>
            <a:t>0.5 m3/h, 3 barg, 17.5°C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76200</xdr:colOff>
      <xdr:row>22</xdr:row>
      <xdr:rowOff>47625</xdr:rowOff>
    </xdr:from>
    <xdr:to>
      <xdr:col>10</xdr:col>
      <xdr:colOff>85725</xdr:colOff>
      <xdr:row>42</xdr:row>
      <xdr:rowOff>47625</xdr:rowOff>
    </xdr:to>
    <xdr:sp macro="" textlink="">
      <xdr:nvSpPr>
        <xdr:cNvPr id="239562" name="Line 32"/>
        <xdr:cNvSpPr>
          <a:spLocks noChangeShapeType="1"/>
        </xdr:cNvSpPr>
      </xdr:nvSpPr>
      <xdr:spPr bwMode="auto">
        <a:xfrm flipV="1">
          <a:off x="3924300" y="3800475"/>
          <a:ext cx="9525" cy="32385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8</xdr:col>
      <xdr:colOff>476250</xdr:colOff>
      <xdr:row>24</xdr:row>
      <xdr:rowOff>9525</xdr:rowOff>
    </xdr:from>
    <xdr:to>
      <xdr:col>10</xdr:col>
      <xdr:colOff>85725</xdr:colOff>
      <xdr:row>25</xdr:row>
      <xdr:rowOff>0</xdr:rowOff>
    </xdr:to>
    <xdr:sp macro="" textlink="">
      <xdr:nvSpPr>
        <xdr:cNvPr id="239563" name="Line 33"/>
        <xdr:cNvSpPr>
          <a:spLocks noChangeShapeType="1"/>
        </xdr:cNvSpPr>
      </xdr:nvSpPr>
      <xdr:spPr bwMode="auto">
        <a:xfrm flipV="1">
          <a:off x="3048000" y="4086225"/>
          <a:ext cx="885825" cy="152400"/>
        </a:xfrm>
        <a:prstGeom prst="line">
          <a:avLst/>
        </a:prstGeom>
        <a:noFill/>
        <a:ln w="25400">
          <a:solidFill>
            <a:srgbClr val="00008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495300</xdr:colOff>
      <xdr:row>28</xdr:row>
      <xdr:rowOff>9525</xdr:rowOff>
    </xdr:from>
    <xdr:to>
      <xdr:col>10</xdr:col>
      <xdr:colOff>361950</xdr:colOff>
      <xdr:row>30</xdr:row>
      <xdr:rowOff>123825</xdr:rowOff>
    </xdr:to>
    <xdr:sp macro="" textlink="">
      <xdr:nvSpPr>
        <xdr:cNvPr id="239564" name="Line 34"/>
        <xdr:cNvSpPr>
          <a:spLocks noChangeShapeType="1"/>
        </xdr:cNvSpPr>
      </xdr:nvSpPr>
      <xdr:spPr bwMode="auto">
        <a:xfrm flipV="1">
          <a:off x="3629025" y="4733925"/>
          <a:ext cx="581025" cy="438150"/>
        </a:xfrm>
        <a:prstGeom prst="line">
          <a:avLst/>
        </a:prstGeom>
        <a:noFill/>
        <a:ln w="25400">
          <a:solidFill>
            <a:srgbClr val="00008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542925</xdr:colOff>
      <xdr:row>27</xdr:row>
      <xdr:rowOff>38100</xdr:rowOff>
    </xdr:from>
    <xdr:to>
      <xdr:col>17</xdr:col>
      <xdr:colOff>38100</xdr:colOff>
      <xdr:row>28</xdr:row>
      <xdr:rowOff>76200</xdr:rowOff>
    </xdr:to>
    <xdr:grpSp>
      <xdr:nvGrpSpPr>
        <xdr:cNvPr id="239565" name="Group 35"/>
        <xdr:cNvGrpSpPr>
          <a:grpSpLocks/>
        </xdr:cNvGrpSpPr>
      </xdr:nvGrpSpPr>
      <xdr:grpSpPr bwMode="auto">
        <a:xfrm rot="10800000" flipH="1" flipV="1">
          <a:off x="8286190" y="4498041"/>
          <a:ext cx="425263" cy="194983"/>
          <a:chOff x="702" y="2256"/>
          <a:chExt cx="130" cy="131"/>
        </a:xfrm>
      </xdr:grpSpPr>
      <xdr:grpSp>
        <xdr:nvGrpSpPr>
          <xdr:cNvPr id="391169" name="Group 36"/>
          <xdr:cNvGrpSpPr>
            <a:grpSpLocks/>
          </xdr:cNvGrpSpPr>
        </xdr:nvGrpSpPr>
        <xdr:grpSpPr bwMode="auto">
          <a:xfrm>
            <a:off x="720" y="2256"/>
            <a:ext cx="96" cy="96"/>
            <a:chOff x="672" y="2544"/>
            <a:chExt cx="96" cy="96"/>
          </a:xfrm>
        </xdr:grpSpPr>
        <xdr:sp macro="" textlink="">
          <xdr:nvSpPr>
            <xdr:cNvPr id="391171" name="Oval 37"/>
            <xdr:cNvSpPr>
              <a:spLocks noChangeArrowheads="1"/>
            </xdr:cNvSpPr>
          </xdr:nvSpPr>
          <xdr:spPr bwMode="auto">
            <a:xfrm>
              <a:off x="672" y="2544"/>
              <a:ext cx="96" cy="96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91172" name="Rectangle 38"/>
            <xdr:cNvSpPr>
              <a:spLocks noChangeArrowheads="1"/>
            </xdr:cNvSpPr>
          </xdr:nvSpPr>
          <xdr:spPr bwMode="auto">
            <a:xfrm>
              <a:off x="672" y="2592"/>
              <a:ext cx="96" cy="4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sp macro="" textlink="">
          <xdr:nvSpPr>
            <xdr:cNvPr id="391173" name="Line 39"/>
            <xdr:cNvSpPr>
              <a:spLocks noChangeShapeType="1"/>
            </xdr:cNvSpPr>
          </xdr:nvSpPr>
          <xdr:spPr bwMode="auto">
            <a:xfrm>
              <a:off x="720" y="2592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391170" name="AutoShape 40"/>
          <xdr:cNvSpPr>
            <a:spLocks noChangeArrowheads="1"/>
          </xdr:cNvSpPr>
        </xdr:nvSpPr>
        <xdr:spPr bwMode="auto">
          <a:xfrm rot="5400000">
            <a:off x="734" y="2290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542925</xdr:colOff>
      <xdr:row>21</xdr:row>
      <xdr:rowOff>76200</xdr:rowOff>
    </xdr:from>
    <xdr:to>
      <xdr:col>16</xdr:col>
      <xdr:colOff>209550</xdr:colOff>
      <xdr:row>22</xdr:row>
      <xdr:rowOff>123825</xdr:rowOff>
    </xdr:to>
    <xdr:grpSp>
      <xdr:nvGrpSpPr>
        <xdr:cNvPr id="239566" name="Group 41"/>
        <xdr:cNvGrpSpPr>
          <a:grpSpLocks/>
        </xdr:cNvGrpSpPr>
      </xdr:nvGrpSpPr>
      <xdr:grpSpPr bwMode="auto">
        <a:xfrm rot="10800000" flipH="1" flipV="1">
          <a:off x="8286190" y="3594847"/>
          <a:ext cx="372595" cy="204507"/>
          <a:chOff x="702" y="2256"/>
          <a:chExt cx="130" cy="131"/>
        </a:xfrm>
      </xdr:grpSpPr>
      <xdr:grpSp>
        <xdr:nvGrpSpPr>
          <xdr:cNvPr id="239612" name="Group 42"/>
          <xdr:cNvGrpSpPr>
            <a:grpSpLocks/>
          </xdr:cNvGrpSpPr>
        </xdr:nvGrpSpPr>
        <xdr:grpSpPr bwMode="auto">
          <a:xfrm>
            <a:off x="720" y="2256"/>
            <a:ext cx="96" cy="96"/>
            <a:chOff x="672" y="2544"/>
            <a:chExt cx="96" cy="96"/>
          </a:xfrm>
        </xdr:grpSpPr>
        <xdr:sp macro="" textlink="">
          <xdr:nvSpPr>
            <xdr:cNvPr id="239614" name="Oval 43"/>
            <xdr:cNvSpPr>
              <a:spLocks noChangeArrowheads="1"/>
            </xdr:cNvSpPr>
          </xdr:nvSpPr>
          <xdr:spPr bwMode="auto">
            <a:xfrm>
              <a:off x="672" y="2544"/>
              <a:ext cx="96" cy="96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9615" name="Rectangle 44"/>
            <xdr:cNvSpPr>
              <a:spLocks noChangeArrowheads="1"/>
            </xdr:cNvSpPr>
          </xdr:nvSpPr>
          <xdr:spPr bwMode="auto">
            <a:xfrm>
              <a:off x="672" y="2592"/>
              <a:ext cx="96" cy="4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sp macro="" textlink="">
          <xdr:nvSpPr>
            <xdr:cNvPr id="391168" name="Line 45"/>
            <xdr:cNvSpPr>
              <a:spLocks noChangeShapeType="1"/>
            </xdr:cNvSpPr>
          </xdr:nvSpPr>
          <xdr:spPr bwMode="auto">
            <a:xfrm>
              <a:off x="720" y="2592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239613" name="AutoShape 46"/>
          <xdr:cNvSpPr>
            <a:spLocks noChangeArrowheads="1"/>
          </xdr:cNvSpPr>
        </xdr:nvSpPr>
        <xdr:spPr bwMode="auto">
          <a:xfrm rot="5400000">
            <a:off x="734" y="2290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609600</xdr:colOff>
      <xdr:row>16</xdr:row>
      <xdr:rowOff>114300</xdr:rowOff>
    </xdr:from>
    <xdr:to>
      <xdr:col>14</xdr:col>
      <xdr:colOff>523875</xdr:colOff>
      <xdr:row>16</xdr:row>
      <xdr:rowOff>114300</xdr:rowOff>
    </xdr:to>
    <xdr:sp macro="" textlink="">
      <xdr:nvSpPr>
        <xdr:cNvPr id="239567" name="Line 47"/>
        <xdr:cNvSpPr>
          <a:spLocks noChangeShapeType="1"/>
        </xdr:cNvSpPr>
      </xdr:nvSpPr>
      <xdr:spPr bwMode="auto">
        <a:xfrm>
          <a:off x="4457700" y="2895600"/>
          <a:ext cx="3133725" cy="0"/>
        </a:xfrm>
        <a:prstGeom prst="line">
          <a:avLst/>
        </a:prstGeom>
        <a:noFill/>
        <a:ln w="28575">
          <a:solidFill>
            <a:srgbClr val="FF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 editAs="oneCell">
    <xdr:from>
      <xdr:col>11</xdr:col>
      <xdr:colOff>219075</xdr:colOff>
      <xdr:row>15</xdr:row>
      <xdr:rowOff>38100</xdr:rowOff>
    </xdr:from>
    <xdr:to>
      <xdr:col>12</xdr:col>
      <xdr:colOff>714375</xdr:colOff>
      <xdr:row>17</xdr:row>
      <xdr:rowOff>9525</xdr:rowOff>
    </xdr:to>
    <xdr:sp macro="" textlink="">
      <xdr:nvSpPr>
        <xdr:cNvPr id="71728" name="Text Box 48"/>
        <xdr:cNvSpPr txBox="1">
          <a:spLocks noChangeArrowheads="1"/>
        </xdr:cNvSpPr>
      </xdr:nvSpPr>
      <xdr:spPr bwMode="auto">
        <a:xfrm>
          <a:off x="4810125" y="2657475"/>
          <a:ext cx="13144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Pmax= 50mbar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52</xdr:row>
      <xdr:rowOff>9525</xdr:rowOff>
    </xdr:from>
    <xdr:to>
      <xdr:col>15</xdr:col>
      <xdr:colOff>9525</xdr:colOff>
      <xdr:row>61</xdr:row>
      <xdr:rowOff>0</xdr:rowOff>
    </xdr:to>
    <xdr:sp macro="" textlink="">
      <xdr:nvSpPr>
        <xdr:cNvPr id="239569" name="Rectangle 49"/>
        <xdr:cNvSpPr>
          <a:spLocks noChangeArrowheads="1"/>
        </xdr:cNvSpPr>
      </xdr:nvSpPr>
      <xdr:spPr bwMode="auto">
        <a:xfrm>
          <a:off x="5410200" y="8658225"/>
          <a:ext cx="2343150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161925</xdr:colOff>
      <xdr:row>53</xdr:row>
      <xdr:rowOff>85725</xdr:rowOff>
    </xdr:from>
    <xdr:to>
      <xdr:col>15</xdr:col>
      <xdr:colOff>609600</xdr:colOff>
      <xdr:row>53</xdr:row>
      <xdr:rowOff>85725</xdr:rowOff>
    </xdr:to>
    <xdr:sp macro="" textlink="">
      <xdr:nvSpPr>
        <xdr:cNvPr id="239570" name="Line 50"/>
        <xdr:cNvSpPr>
          <a:spLocks noChangeShapeType="1"/>
        </xdr:cNvSpPr>
      </xdr:nvSpPr>
      <xdr:spPr bwMode="auto">
        <a:xfrm>
          <a:off x="4752975" y="8896350"/>
          <a:ext cx="36004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123825</xdr:colOff>
      <xdr:row>59</xdr:row>
      <xdr:rowOff>85725</xdr:rowOff>
    </xdr:from>
    <xdr:to>
      <xdr:col>15</xdr:col>
      <xdr:colOff>571500</xdr:colOff>
      <xdr:row>59</xdr:row>
      <xdr:rowOff>85725</xdr:rowOff>
    </xdr:to>
    <xdr:sp macro="" textlink="">
      <xdr:nvSpPr>
        <xdr:cNvPr id="239571" name="Line 51"/>
        <xdr:cNvSpPr>
          <a:spLocks noChangeShapeType="1"/>
        </xdr:cNvSpPr>
      </xdr:nvSpPr>
      <xdr:spPr bwMode="auto">
        <a:xfrm>
          <a:off x="4714875" y="9867900"/>
          <a:ext cx="3600450" cy="0"/>
        </a:xfrm>
        <a:prstGeom prst="line">
          <a:avLst/>
        </a:prstGeom>
        <a:noFill/>
        <a:ln w="38100">
          <a:solidFill>
            <a:srgbClr val="0000FF"/>
          </a:solidFill>
          <a:round/>
          <a:headEnd type="triangle" w="med" len="med"/>
          <a:tailEnd/>
        </a:ln>
      </xdr:spPr>
    </xdr:sp>
    <xdr:clientData/>
  </xdr:twoCellAnchor>
  <xdr:twoCellAnchor>
    <xdr:from>
      <xdr:col>12</xdr:col>
      <xdr:colOff>9525</xdr:colOff>
      <xdr:row>52</xdr:row>
      <xdr:rowOff>57150</xdr:rowOff>
    </xdr:from>
    <xdr:to>
      <xdr:col>14</xdr:col>
      <xdr:colOff>752475</xdr:colOff>
      <xdr:row>53</xdr:row>
      <xdr:rowOff>152400</xdr:rowOff>
    </xdr:to>
    <xdr:sp macro="" textlink="">
      <xdr:nvSpPr>
        <xdr:cNvPr id="71732" name="Text Box 52"/>
        <xdr:cNvSpPr txBox="1">
          <a:spLocks noChangeArrowheads="1"/>
        </xdr:cNvSpPr>
      </xdr:nvSpPr>
      <xdr:spPr bwMode="auto">
        <a:xfrm>
          <a:off x="5419725" y="870585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HELIUM</a:t>
          </a:r>
        </a:p>
      </xdr:txBody>
    </xdr:sp>
    <xdr:clientData/>
  </xdr:twoCellAnchor>
  <xdr:twoCellAnchor>
    <xdr:from>
      <xdr:col>12</xdr:col>
      <xdr:colOff>9525</xdr:colOff>
      <xdr:row>57</xdr:row>
      <xdr:rowOff>152400</xdr:rowOff>
    </xdr:from>
    <xdr:to>
      <xdr:col>14</xdr:col>
      <xdr:colOff>752475</xdr:colOff>
      <xdr:row>59</xdr:row>
      <xdr:rowOff>85725</xdr:rowOff>
    </xdr:to>
    <xdr:sp macro="" textlink="">
      <xdr:nvSpPr>
        <xdr:cNvPr id="71733" name="Text Box 53"/>
        <xdr:cNvSpPr txBox="1">
          <a:spLocks noChangeArrowheads="1"/>
        </xdr:cNvSpPr>
      </xdr:nvSpPr>
      <xdr:spPr bwMode="auto">
        <a:xfrm>
          <a:off x="5419725" y="9610725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WATER</a:t>
          </a:r>
        </a:p>
      </xdr:txBody>
    </xdr:sp>
    <xdr:clientData/>
  </xdr:twoCellAnchor>
  <xdr:twoCellAnchor>
    <xdr:from>
      <xdr:col>12</xdr:col>
      <xdr:colOff>47625</xdr:colOff>
      <xdr:row>49</xdr:row>
      <xdr:rowOff>66675</xdr:rowOff>
    </xdr:from>
    <xdr:to>
      <xdr:col>15</xdr:col>
      <xdr:colOff>38100</xdr:colOff>
      <xdr:row>51</xdr:row>
      <xdr:rowOff>0</xdr:rowOff>
    </xdr:to>
    <xdr:sp macro="" textlink="">
      <xdr:nvSpPr>
        <xdr:cNvPr id="71734" name="Text Box 54"/>
        <xdr:cNvSpPr txBox="1">
          <a:spLocks noChangeArrowheads="1"/>
        </xdr:cNvSpPr>
      </xdr:nvSpPr>
      <xdr:spPr bwMode="auto">
        <a:xfrm>
          <a:off x="5457825" y="822960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Pmax = 50 mbar</a:t>
          </a:r>
        </a:p>
      </xdr:txBody>
    </xdr:sp>
    <xdr:clientData/>
  </xdr:twoCellAnchor>
  <xdr:twoCellAnchor>
    <xdr:from>
      <xdr:col>11</xdr:col>
      <xdr:colOff>161925</xdr:colOff>
      <xdr:row>50</xdr:row>
      <xdr:rowOff>142875</xdr:rowOff>
    </xdr:from>
    <xdr:to>
      <xdr:col>16</xdr:col>
      <xdr:colOff>0</xdr:colOff>
      <xdr:row>50</xdr:row>
      <xdr:rowOff>142875</xdr:rowOff>
    </xdr:to>
    <xdr:sp macro="" textlink="">
      <xdr:nvSpPr>
        <xdr:cNvPr id="239575" name="Line 55"/>
        <xdr:cNvSpPr>
          <a:spLocks noChangeShapeType="1"/>
        </xdr:cNvSpPr>
      </xdr:nvSpPr>
      <xdr:spPr bwMode="auto">
        <a:xfrm>
          <a:off x="4752975" y="8467725"/>
          <a:ext cx="3695700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142875</xdr:colOff>
      <xdr:row>52</xdr:row>
      <xdr:rowOff>0</xdr:rowOff>
    </xdr:from>
    <xdr:to>
      <xdr:col>8</xdr:col>
      <xdr:colOff>314325</xdr:colOff>
      <xdr:row>56</xdr:row>
      <xdr:rowOff>38100</xdr:rowOff>
    </xdr:to>
    <xdr:sp macro="" textlink="">
      <xdr:nvSpPr>
        <xdr:cNvPr id="239576" name="AutoShape 63"/>
        <xdr:cNvSpPr>
          <a:spLocks/>
        </xdr:cNvSpPr>
      </xdr:nvSpPr>
      <xdr:spPr bwMode="auto">
        <a:xfrm>
          <a:off x="2714625" y="8648700"/>
          <a:ext cx="171450" cy="685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53</xdr:row>
      <xdr:rowOff>104775</xdr:rowOff>
    </xdr:from>
    <xdr:to>
      <xdr:col>8</xdr:col>
      <xdr:colOff>104775</xdr:colOff>
      <xdr:row>54</xdr:row>
      <xdr:rowOff>123825</xdr:rowOff>
    </xdr:to>
    <xdr:sp macro="" textlink="">
      <xdr:nvSpPr>
        <xdr:cNvPr id="71744" name="Text Box 64"/>
        <xdr:cNvSpPr txBox="1">
          <a:spLocks noChangeArrowheads="1"/>
        </xdr:cNvSpPr>
      </xdr:nvSpPr>
      <xdr:spPr bwMode="auto">
        <a:xfrm>
          <a:off x="1562100" y="8915400"/>
          <a:ext cx="11144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NEED</a:t>
          </a:r>
        </a:p>
      </xdr:txBody>
    </xdr:sp>
    <xdr:clientData/>
  </xdr:twoCellAnchor>
  <xdr:twoCellAnchor>
    <xdr:from>
      <xdr:col>7</xdr:col>
      <xdr:colOff>371475</xdr:colOff>
      <xdr:row>65</xdr:row>
      <xdr:rowOff>0</xdr:rowOff>
    </xdr:from>
    <xdr:to>
      <xdr:col>8</xdr:col>
      <xdr:colOff>133350</xdr:colOff>
      <xdr:row>65</xdr:row>
      <xdr:rowOff>0</xdr:rowOff>
    </xdr:to>
    <xdr:sp macro="" textlink="">
      <xdr:nvSpPr>
        <xdr:cNvPr id="71749" name="Text Box 69"/>
        <xdr:cNvSpPr txBox="1">
          <a:spLocks noChangeArrowheads="1"/>
        </xdr:cNvSpPr>
      </xdr:nvSpPr>
      <xdr:spPr bwMode="auto">
        <a:xfrm>
          <a:off x="2381250" y="10753725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NEED</a:t>
          </a:r>
        </a:p>
      </xdr:txBody>
    </xdr:sp>
    <xdr:clientData/>
  </xdr:twoCellAnchor>
  <xdr:twoCellAnchor>
    <xdr:from>
      <xdr:col>8</xdr:col>
      <xdr:colOff>438150</xdr:colOff>
      <xdr:row>57</xdr:row>
      <xdr:rowOff>123825</xdr:rowOff>
    </xdr:from>
    <xdr:to>
      <xdr:col>9</xdr:col>
      <xdr:colOff>47625</xdr:colOff>
      <xdr:row>62</xdr:row>
      <xdr:rowOff>0</xdr:rowOff>
    </xdr:to>
    <xdr:sp macro="" textlink="">
      <xdr:nvSpPr>
        <xdr:cNvPr id="239579" name="AutoShape 70"/>
        <xdr:cNvSpPr>
          <a:spLocks/>
        </xdr:cNvSpPr>
      </xdr:nvSpPr>
      <xdr:spPr bwMode="auto">
        <a:xfrm>
          <a:off x="3009900" y="9582150"/>
          <a:ext cx="171450" cy="685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59</xdr:row>
      <xdr:rowOff>66675</xdr:rowOff>
    </xdr:from>
    <xdr:to>
      <xdr:col>8</xdr:col>
      <xdr:colOff>390525</xdr:colOff>
      <xdr:row>60</xdr:row>
      <xdr:rowOff>85725</xdr:rowOff>
    </xdr:to>
    <xdr:sp macro="" textlink="">
      <xdr:nvSpPr>
        <xdr:cNvPr id="71751" name="Text Box 71"/>
        <xdr:cNvSpPr txBox="1">
          <a:spLocks noChangeArrowheads="1"/>
        </xdr:cNvSpPr>
      </xdr:nvSpPr>
      <xdr:spPr bwMode="auto">
        <a:xfrm>
          <a:off x="1228725" y="9848850"/>
          <a:ext cx="17335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 be defined by supplier </a:t>
          </a:r>
        </a:p>
      </xdr:txBody>
    </xdr:sp>
    <xdr:clientData/>
  </xdr:twoCellAnchor>
  <xdr:twoCellAnchor>
    <xdr:from>
      <xdr:col>13</xdr:col>
      <xdr:colOff>85725</xdr:colOff>
      <xdr:row>74</xdr:row>
      <xdr:rowOff>85725</xdr:rowOff>
    </xdr:from>
    <xdr:to>
      <xdr:col>17</xdr:col>
      <xdr:colOff>333375</xdr:colOff>
      <xdr:row>93</xdr:row>
      <xdr:rowOff>0</xdr:rowOff>
    </xdr:to>
    <xdr:grpSp>
      <xdr:nvGrpSpPr>
        <xdr:cNvPr id="239581" name="Group 72"/>
        <xdr:cNvGrpSpPr>
          <a:grpSpLocks/>
        </xdr:cNvGrpSpPr>
      </xdr:nvGrpSpPr>
      <xdr:grpSpPr bwMode="auto">
        <a:xfrm>
          <a:off x="6697196" y="12008784"/>
          <a:ext cx="2309532" cy="3399304"/>
          <a:chOff x="907" y="138"/>
          <a:chExt cx="229" cy="332"/>
        </a:xfrm>
      </xdr:grpSpPr>
      <xdr:pic>
        <xdr:nvPicPr>
          <xdr:cNvPr id="239610" name="Picture 7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07" y="138"/>
            <a:ext cx="229" cy="332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239611" name="Oval 74"/>
          <xdr:cNvSpPr>
            <a:spLocks noChangeArrowheads="1"/>
          </xdr:cNvSpPr>
        </xdr:nvSpPr>
        <xdr:spPr bwMode="auto">
          <a:xfrm>
            <a:off x="1004" y="295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17</xdr:col>
      <xdr:colOff>238125</xdr:colOff>
      <xdr:row>74</xdr:row>
      <xdr:rowOff>0</xdr:rowOff>
    </xdr:from>
    <xdr:to>
      <xdr:col>24</xdr:col>
      <xdr:colOff>19050</xdr:colOff>
      <xdr:row>91</xdr:row>
      <xdr:rowOff>66675</xdr:rowOff>
    </xdr:to>
    <xdr:pic>
      <xdr:nvPicPr>
        <xdr:cNvPr id="239582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5875" y="12249150"/>
          <a:ext cx="3352800" cy="3190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99</xdr:row>
      <xdr:rowOff>9525</xdr:rowOff>
    </xdr:from>
    <xdr:to>
      <xdr:col>15</xdr:col>
      <xdr:colOff>9525</xdr:colOff>
      <xdr:row>108</xdr:row>
      <xdr:rowOff>0</xdr:rowOff>
    </xdr:to>
    <xdr:sp macro="" textlink="">
      <xdr:nvSpPr>
        <xdr:cNvPr id="71756" name="Rectangle 76"/>
        <xdr:cNvSpPr>
          <a:spLocks noChangeArrowheads="1"/>
        </xdr:cNvSpPr>
      </xdr:nvSpPr>
      <xdr:spPr bwMode="auto">
        <a:xfrm>
          <a:off x="5410200" y="16773525"/>
          <a:ext cx="2343150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Compressor After-Cooler</a:t>
          </a:r>
        </a:p>
      </xdr:txBody>
    </xdr:sp>
    <xdr:clientData/>
  </xdr:twoCellAnchor>
  <xdr:twoCellAnchor>
    <xdr:from>
      <xdr:col>11</xdr:col>
      <xdr:colOff>161925</xdr:colOff>
      <xdr:row>100</xdr:row>
      <xdr:rowOff>85725</xdr:rowOff>
    </xdr:from>
    <xdr:to>
      <xdr:col>15</xdr:col>
      <xdr:colOff>609600</xdr:colOff>
      <xdr:row>100</xdr:row>
      <xdr:rowOff>85725</xdr:rowOff>
    </xdr:to>
    <xdr:sp macro="" textlink="">
      <xdr:nvSpPr>
        <xdr:cNvPr id="239584" name="Line 77"/>
        <xdr:cNvSpPr>
          <a:spLocks noChangeShapeType="1"/>
        </xdr:cNvSpPr>
      </xdr:nvSpPr>
      <xdr:spPr bwMode="auto">
        <a:xfrm>
          <a:off x="4752975" y="17011650"/>
          <a:ext cx="36004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123825</xdr:colOff>
      <xdr:row>106</xdr:row>
      <xdr:rowOff>85725</xdr:rowOff>
    </xdr:from>
    <xdr:to>
      <xdr:col>15</xdr:col>
      <xdr:colOff>571500</xdr:colOff>
      <xdr:row>106</xdr:row>
      <xdr:rowOff>85725</xdr:rowOff>
    </xdr:to>
    <xdr:sp macro="" textlink="">
      <xdr:nvSpPr>
        <xdr:cNvPr id="239585" name="Line 78"/>
        <xdr:cNvSpPr>
          <a:spLocks noChangeShapeType="1"/>
        </xdr:cNvSpPr>
      </xdr:nvSpPr>
      <xdr:spPr bwMode="auto">
        <a:xfrm>
          <a:off x="4714875" y="17983200"/>
          <a:ext cx="3600450" cy="0"/>
        </a:xfrm>
        <a:prstGeom prst="line">
          <a:avLst/>
        </a:prstGeom>
        <a:noFill/>
        <a:ln w="38100">
          <a:solidFill>
            <a:srgbClr val="0000FF"/>
          </a:solidFill>
          <a:round/>
          <a:headEnd type="triangle" w="med" len="med"/>
          <a:tailEnd/>
        </a:ln>
      </xdr:spPr>
    </xdr:sp>
    <xdr:clientData/>
  </xdr:twoCellAnchor>
  <xdr:twoCellAnchor>
    <xdr:from>
      <xdr:col>12</xdr:col>
      <xdr:colOff>9525</xdr:colOff>
      <xdr:row>99</xdr:row>
      <xdr:rowOff>57150</xdr:rowOff>
    </xdr:from>
    <xdr:to>
      <xdr:col>14</xdr:col>
      <xdr:colOff>752475</xdr:colOff>
      <xdr:row>100</xdr:row>
      <xdr:rowOff>152400</xdr:rowOff>
    </xdr:to>
    <xdr:sp macro="" textlink="">
      <xdr:nvSpPr>
        <xdr:cNvPr id="71759" name="Text Box 79"/>
        <xdr:cNvSpPr txBox="1">
          <a:spLocks noChangeArrowheads="1"/>
        </xdr:cNvSpPr>
      </xdr:nvSpPr>
      <xdr:spPr bwMode="auto">
        <a:xfrm>
          <a:off x="5419725" y="1682115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HELIUM</a:t>
          </a:r>
        </a:p>
      </xdr:txBody>
    </xdr:sp>
    <xdr:clientData/>
  </xdr:twoCellAnchor>
  <xdr:twoCellAnchor>
    <xdr:from>
      <xdr:col>12</xdr:col>
      <xdr:colOff>9525</xdr:colOff>
      <xdr:row>104</xdr:row>
      <xdr:rowOff>152400</xdr:rowOff>
    </xdr:from>
    <xdr:to>
      <xdr:col>14</xdr:col>
      <xdr:colOff>752475</xdr:colOff>
      <xdr:row>106</xdr:row>
      <xdr:rowOff>85725</xdr:rowOff>
    </xdr:to>
    <xdr:sp macro="" textlink="">
      <xdr:nvSpPr>
        <xdr:cNvPr id="71760" name="Text Box 80"/>
        <xdr:cNvSpPr txBox="1">
          <a:spLocks noChangeArrowheads="1"/>
        </xdr:cNvSpPr>
      </xdr:nvSpPr>
      <xdr:spPr bwMode="auto">
        <a:xfrm>
          <a:off x="5419725" y="17726025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WATER </a:t>
          </a:r>
        </a:p>
      </xdr:txBody>
    </xdr:sp>
    <xdr:clientData/>
  </xdr:twoCellAnchor>
  <xdr:twoCellAnchor>
    <xdr:from>
      <xdr:col>12</xdr:col>
      <xdr:colOff>47625</xdr:colOff>
      <xdr:row>96</xdr:row>
      <xdr:rowOff>66675</xdr:rowOff>
    </xdr:from>
    <xdr:to>
      <xdr:col>15</xdr:col>
      <xdr:colOff>38100</xdr:colOff>
      <xdr:row>98</xdr:row>
      <xdr:rowOff>0</xdr:rowOff>
    </xdr:to>
    <xdr:sp macro="" textlink="">
      <xdr:nvSpPr>
        <xdr:cNvPr id="71761" name="Text Box 81"/>
        <xdr:cNvSpPr txBox="1">
          <a:spLocks noChangeArrowheads="1"/>
        </xdr:cNvSpPr>
      </xdr:nvSpPr>
      <xdr:spPr bwMode="auto">
        <a:xfrm>
          <a:off x="5457825" y="1634490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Pmax = 50 mbar</a:t>
          </a:r>
        </a:p>
      </xdr:txBody>
    </xdr:sp>
    <xdr:clientData/>
  </xdr:twoCellAnchor>
  <xdr:twoCellAnchor>
    <xdr:from>
      <xdr:col>11</xdr:col>
      <xdr:colOff>161925</xdr:colOff>
      <xdr:row>97</xdr:row>
      <xdr:rowOff>142875</xdr:rowOff>
    </xdr:from>
    <xdr:to>
      <xdr:col>16</xdr:col>
      <xdr:colOff>0</xdr:colOff>
      <xdr:row>97</xdr:row>
      <xdr:rowOff>142875</xdr:rowOff>
    </xdr:to>
    <xdr:sp macro="" textlink="">
      <xdr:nvSpPr>
        <xdr:cNvPr id="239589" name="Line 82"/>
        <xdr:cNvSpPr>
          <a:spLocks noChangeShapeType="1"/>
        </xdr:cNvSpPr>
      </xdr:nvSpPr>
      <xdr:spPr bwMode="auto">
        <a:xfrm>
          <a:off x="4752975" y="16583025"/>
          <a:ext cx="3695700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142875</xdr:colOff>
      <xdr:row>99</xdr:row>
      <xdr:rowOff>0</xdr:rowOff>
    </xdr:from>
    <xdr:to>
      <xdr:col>8</xdr:col>
      <xdr:colOff>314325</xdr:colOff>
      <xdr:row>103</xdr:row>
      <xdr:rowOff>38100</xdr:rowOff>
    </xdr:to>
    <xdr:sp macro="" textlink="">
      <xdr:nvSpPr>
        <xdr:cNvPr id="239590" name="AutoShape 90"/>
        <xdr:cNvSpPr>
          <a:spLocks/>
        </xdr:cNvSpPr>
      </xdr:nvSpPr>
      <xdr:spPr bwMode="auto">
        <a:xfrm>
          <a:off x="2714625" y="16764000"/>
          <a:ext cx="171450" cy="685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342900</xdr:colOff>
      <xdr:row>100</xdr:row>
      <xdr:rowOff>104775</xdr:rowOff>
    </xdr:from>
    <xdr:to>
      <xdr:col>8</xdr:col>
      <xdr:colOff>104775</xdr:colOff>
      <xdr:row>101</xdr:row>
      <xdr:rowOff>123825</xdr:rowOff>
    </xdr:to>
    <xdr:sp macro="" textlink="">
      <xdr:nvSpPr>
        <xdr:cNvPr id="71771" name="Text Box 91"/>
        <xdr:cNvSpPr txBox="1">
          <a:spLocks noChangeArrowheads="1"/>
        </xdr:cNvSpPr>
      </xdr:nvSpPr>
      <xdr:spPr bwMode="auto">
        <a:xfrm>
          <a:off x="2352675" y="17030700"/>
          <a:ext cx="323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NEED</a:t>
          </a:r>
        </a:p>
      </xdr:txBody>
    </xdr:sp>
    <xdr:clientData/>
  </xdr:twoCellAnchor>
  <xdr:twoCellAnchor>
    <xdr:from>
      <xdr:col>8</xdr:col>
      <xdr:colOff>133350</xdr:colOff>
      <xdr:row>105</xdr:row>
      <xdr:rowOff>0</xdr:rowOff>
    </xdr:from>
    <xdr:to>
      <xdr:col>8</xdr:col>
      <xdr:colOff>304800</xdr:colOff>
      <xdr:row>109</xdr:row>
      <xdr:rowOff>0</xdr:rowOff>
    </xdr:to>
    <xdr:sp macro="" textlink="">
      <xdr:nvSpPr>
        <xdr:cNvPr id="239592" name="AutoShape 92"/>
        <xdr:cNvSpPr>
          <a:spLocks/>
        </xdr:cNvSpPr>
      </xdr:nvSpPr>
      <xdr:spPr bwMode="auto">
        <a:xfrm>
          <a:off x="2705100" y="17735550"/>
          <a:ext cx="171450" cy="647700"/>
        </a:xfrm>
        <a:prstGeom prst="leftBrace">
          <a:avLst>
            <a:gd name="adj1" fmla="val 314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106</xdr:row>
      <xdr:rowOff>104775</xdr:rowOff>
    </xdr:from>
    <xdr:to>
      <xdr:col>8</xdr:col>
      <xdr:colOff>95250</xdr:colOff>
      <xdr:row>108</xdr:row>
      <xdr:rowOff>0</xdr:rowOff>
    </xdr:to>
    <xdr:sp macro="" textlink="">
      <xdr:nvSpPr>
        <xdr:cNvPr id="71773" name="Text Box 93"/>
        <xdr:cNvSpPr txBox="1">
          <a:spLocks noChangeArrowheads="1"/>
        </xdr:cNvSpPr>
      </xdr:nvSpPr>
      <xdr:spPr bwMode="auto">
        <a:xfrm>
          <a:off x="1838325" y="18002250"/>
          <a:ext cx="8286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ETIMATION </a:t>
          </a:r>
        </a:p>
      </xdr:txBody>
    </xdr:sp>
    <xdr:clientData/>
  </xdr:twoCellAnchor>
  <xdr:twoCellAnchor>
    <xdr:from>
      <xdr:col>7</xdr:col>
      <xdr:colOff>371475</xdr:colOff>
      <xdr:row>115</xdr:row>
      <xdr:rowOff>0</xdr:rowOff>
    </xdr:from>
    <xdr:to>
      <xdr:col>8</xdr:col>
      <xdr:colOff>133350</xdr:colOff>
      <xdr:row>115</xdr:row>
      <xdr:rowOff>0</xdr:rowOff>
    </xdr:to>
    <xdr:sp macro="" textlink="">
      <xdr:nvSpPr>
        <xdr:cNvPr id="71775" name="Text Box 95"/>
        <xdr:cNvSpPr txBox="1">
          <a:spLocks noChangeArrowheads="1"/>
        </xdr:cNvSpPr>
      </xdr:nvSpPr>
      <xdr:spPr bwMode="auto">
        <a:xfrm>
          <a:off x="2381250" y="193548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NEED</a:t>
          </a:r>
        </a:p>
      </xdr:txBody>
    </xdr:sp>
    <xdr:clientData/>
  </xdr:twoCellAnchor>
  <xdr:twoCellAnchor>
    <xdr:from>
      <xdr:col>6</xdr:col>
      <xdr:colOff>342900</xdr:colOff>
      <xdr:row>115</xdr:row>
      <xdr:rowOff>0</xdr:rowOff>
    </xdr:from>
    <xdr:to>
      <xdr:col>8</xdr:col>
      <xdr:colOff>123825</xdr:colOff>
      <xdr:row>115</xdr:row>
      <xdr:rowOff>0</xdr:rowOff>
    </xdr:to>
    <xdr:sp macro="" textlink="">
      <xdr:nvSpPr>
        <xdr:cNvPr id="71777" name="Text Box 97"/>
        <xdr:cNvSpPr txBox="1">
          <a:spLocks noChangeArrowheads="1"/>
        </xdr:cNvSpPr>
      </xdr:nvSpPr>
      <xdr:spPr bwMode="auto">
        <a:xfrm>
          <a:off x="1866900" y="19354800"/>
          <a:ext cx="828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ETIMATION </a:t>
          </a:r>
        </a:p>
      </xdr:txBody>
    </xdr:sp>
    <xdr:clientData/>
  </xdr:twoCellAnchor>
  <xdr:twoCellAnchor>
    <xdr:from>
      <xdr:col>18</xdr:col>
      <xdr:colOff>400050</xdr:colOff>
      <xdr:row>79</xdr:row>
      <xdr:rowOff>38100</xdr:rowOff>
    </xdr:from>
    <xdr:to>
      <xdr:col>23</xdr:col>
      <xdr:colOff>152400</xdr:colOff>
      <xdr:row>79</xdr:row>
      <xdr:rowOff>38100</xdr:rowOff>
    </xdr:to>
    <xdr:sp macro="" textlink="">
      <xdr:nvSpPr>
        <xdr:cNvPr id="239596" name="Line 98"/>
        <xdr:cNvSpPr>
          <a:spLocks noChangeShapeType="1"/>
        </xdr:cNvSpPr>
      </xdr:nvSpPr>
      <xdr:spPr bwMode="auto">
        <a:xfrm>
          <a:off x="9725025" y="13239750"/>
          <a:ext cx="2447925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533400</xdr:colOff>
      <xdr:row>79</xdr:row>
      <xdr:rowOff>0</xdr:rowOff>
    </xdr:from>
    <xdr:to>
      <xdr:col>19</xdr:col>
      <xdr:colOff>542925</xdr:colOff>
      <xdr:row>88</xdr:row>
      <xdr:rowOff>142875</xdr:rowOff>
    </xdr:to>
    <xdr:sp macro="" textlink="">
      <xdr:nvSpPr>
        <xdr:cNvPr id="239597" name="Line 99"/>
        <xdr:cNvSpPr>
          <a:spLocks noChangeShapeType="1"/>
        </xdr:cNvSpPr>
      </xdr:nvSpPr>
      <xdr:spPr bwMode="auto">
        <a:xfrm flipV="1">
          <a:off x="10744200" y="13201650"/>
          <a:ext cx="9525" cy="174307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20</xdr:col>
      <xdr:colOff>276225</xdr:colOff>
      <xdr:row>90</xdr:row>
      <xdr:rowOff>47625</xdr:rowOff>
    </xdr:from>
    <xdr:to>
      <xdr:col>23</xdr:col>
      <xdr:colOff>114300</xdr:colOff>
      <xdr:row>92</xdr:row>
      <xdr:rowOff>104775</xdr:rowOff>
    </xdr:to>
    <xdr:pic>
      <xdr:nvPicPr>
        <xdr:cNvPr id="239598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315700" y="15230475"/>
          <a:ext cx="819150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66675</xdr:colOff>
      <xdr:row>85</xdr:row>
      <xdr:rowOff>104775</xdr:rowOff>
    </xdr:from>
    <xdr:to>
      <xdr:col>5</xdr:col>
      <xdr:colOff>66675</xdr:colOff>
      <xdr:row>86</xdr:row>
      <xdr:rowOff>114300</xdr:rowOff>
    </xdr:to>
    <xdr:sp macro="" textlink="">
      <xdr:nvSpPr>
        <xdr:cNvPr id="239599" name="Line 102"/>
        <xdr:cNvSpPr>
          <a:spLocks noChangeShapeType="1"/>
        </xdr:cNvSpPr>
      </xdr:nvSpPr>
      <xdr:spPr bwMode="auto">
        <a:xfrm>
          <a:off x="1323975" y="143351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86</xdr:row>
      <xdr:rowOff>114300</xdr:rowOff>
    </xdr:from>
    <xdr:to>
      <xdr:col>6</xdr:col>
      <xdr:colOff>76200</xdr:colOff>
      <xdr:row>86</xdr:row>
      <xdr:rowOff>114300</xdr:rowOff>
    </xdr:to>
    <xdr:sp macro="" textlink="">
      <xdr:nvSpPr>
        <xdr:cNvPr id="239600" name="Line 103"/>
        <xdr:cNvSpPr>
          <a:spLocks noChangeShapeType="1"/>
        </xdr:cNvSpPr>
      </xdr:nvSpPr>
      <xdr:spPr bwMode="auto">
        <a:xfrm>
          <a:off x="1323975" y="145351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104775</xdr:rowOff>
    </xdr:from>
    <xdr:to>
      <xdr:col>5</xdr:col>
      <xdr:colOff>66675</xdr:colOff>
      <xdr:row>77</xdr:row>
      <xdr:rowOff>114300</xdr:rowOff>
    </xdr:to>
    <xdr:sp macro="" textlink="">
      <xdr:nvSpPr>
        <xdr:cNvPr id="239601" name="Line 104"/>
        <xdr:cNvSpPr>
          <a:spLocks noChangeShapeType="1"/>
        </xdr:cNvSpPr>
      </xdr:nvSpPr>
      <xdr:spPr bwMode="auto">
        <a:xfrm>
          <a:off x="1323975" y="127349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77</xdr:row>
      <xdr:rowOff>114300</xdr:rowOff>
    </xdr:from>
    <xdr:to>
      <xdr:col>6</xdr:col>
      <xdr:colOff>76200</xdr:colOff>
      <xdr:row>77</xdr:row>
      <xdr:rowOff>114300</xdr:rowOff>
    </xdr:to>
    <xdr:sp macro="" textlink="">
      <xdr:nvSpPr>
        <xdr:cNvPr id="239602" name="Line 105"/>
        <xdr:cNvSpPr>
          <a:spLocks noChangeShapeType="1"/>
        </xdr:cNvSpPr>
      </xdr:nvSpPr>
      <xdr:spPr bwMode="auto">
        <a:xfrm>
          <a:off x="1323975" y="129349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</xdr:colOff>
      <xdr:row>113</xdr:row>
      <xdr:rowOff>152400</xdr:rowOff>
    </xdr:from>
    <xdr:to>
      <xdr:col>14</xdr:col>
      <xdr:colOff>752475</xdr:colOff>
      <xdr:row>115</xdr:row>
      <xdr:rowOff>85725</xdr:rowOff>
    </xdr:to>
    <xdr:sp macro="" textlink="">
      <xdr:nvSpPr>
        <xdr:cNvPr id="71787" name="Text Box 107"/>
        <xdr:cNvSpPr txBox="1">
          <a:spLocks noChangeArrowheads="1"/>
        </xdr:cNvSpPr>
      </xdr:nvSpPr>
      <xdr:spPr bwMode="auto">
        <a:xfrm>
          <a:off x="5419725" y="1918335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WATER</a:t>
          </a: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15</xdr:col>
      <xdr:colOff>9525</xdr:colOff>
      <xdr:row>116</xdr:row>
      <xdr:rowOff>0</xdr:rowOff>
    </xdr:to>
    <xdr:sp macro="" textlink="">
      <xdr:nvSpPr>
        <xdr:cNvPr id="71789" name="Rectangle 109"/>
        <xdr:cNvSpPr>
          <a:spLocks noChangeArrowheads="1"/>
        </xdr:cNvSpPr>
      </xdr:nvSpPr>
      <xdr:spPr bwMode="auto">
        <a:xfrm>
          <a:off x="5410200" y="18707100"/>
          <a:ext cx="2343150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Turbine Cooler</a:t>
          </a:r>
        </a:p>
      </xdr:txBody>
    </xdr:sp>
    <xdr:clientData/>
  </xdr:twoCellAnchor>
  <xdr:twoCellAnchor>
    <xdr:from>
      <xdr:col>11</xdr:col>
      <xdr:colOff>123825</xdr:colOff>
      <xdr:row>114</xdr:row>
      <xdr:rowOff>85725</xdr:rowOff>
    </xdr:from>
    <xdr:to>
      <xdr:col>15</xdr:col>
      <xdr:colOff>571500</xdr:colOff>
      <xdr:row>114</xdr:row>
      <xdr:rowOff>85725</xdr:rowOff>
    </xdr:to>
    <xdr:sp macro="" textlink="">
      <xdr:nvSpPr>
        <xdr:cNvPr id="239605" name="Line 111"/>
        <xdr:cNvSpPr>
          <a:spLocks noChangeShapeType="1"/>
        </xdr:cNvSpPr>
      </xdr:nvSpPr>
      <xdr:spPr bwMode="auto">
        <a:xfrm>
          <a:off x="4714875" y="19278600"/>
          <a:ext cx="3600450" cy="0"/>
        </a:xfrm>
        <a:prstGeom prst="line">
          <a:avLst/>
        </a:prstGeom>
        <a:noFill/>
        <a:ln w="38100">
          <a:solidFill>
            <a:srgbClr val="0000FF"/>
          </a:solidFill>
          <a:round/>
          <a:headEnd type="triangle" w="med" len="med"/>
          <a:tailEnd/>
        </a:ln>
      </xdr:spPr>
    </xdr:sp>
    <xdr:clientData/>
  </xdr:twoCellAnchor>
  <xdr:twoCellAnchor>
    <xdr:from>
      <xdr:col>12</xdr:col>
      <xdr:colOff>38100</xdr:colOff>
      <xdr:row>115</xdr:row>
      <xdr:rowOff>0</xdr:rowOff>
    </xdr:from>
    <xdr:to>
      <xdr:col>15</xdr:col>
      <xdr:colOff>28575</xdr:colOff>
      <xdr:row>116</xdr:row>
      <xdr:rowOff>95250</xdr:rowOff>
    </xdr:to>
    <xdr:sp macro="" textlink="">
      <xdr:nvSpPr>
        <xdr:cNvPr id="71793" name="Text Box 113"/>
        <xdr:cNvSpPr txBox="1">
          <a:spLocks noChangeArrowheads="1"/>
        </xdr:cNvSpPr>
      </xdr:nvSpPr>
      <xdr:spPr bwMode="auto">
        <a:xfrm>
          <a:off x="5448300" y="19354800"/>
          <a:ext cx="23241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WATER </a:t>
          </a:r>
        </a:p>
      </xdr:txBody>
    </xdr:sp>
    <xdr:clientData/>
  </xdr:twoCellAnchor>
  <xdr:twoCellAnchor>
    <xdr:from>
      <xdr:col>7</xdr:col>
      <xdr:colOff>342900</xdr:colOff>
      <xdr:row>111</xdr:row>
      <xdr:rowOff>0</xdr:rowOff>
    </xdr:from>
    <xdr:to>
      <xdr:col>8</xdr:col>
      <xdr:colOff>104775</xdr:colOff>
      <xdr:row>111</xdr:row>
      <xdr:rowOff>0</xdr:rowOff>
    </xdr:to>
    <xdr:sp macro="" textlink="">
      <xdr:nvSpPr>
        <xdr:cNvPr id="71797" name="Text Box 117"/>
        <xdr:cNvSpPr txBox="1">
          <a:spLocks noChangeArrowheads="1"/>
        </xdr:cNvSpPr>
      </xdr:nvSpPr>
      <xdr:spPr bwMode="auto">
        <a:xfrm>
          <a:off x="2352675" y="18707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NEED</a:t>
          </a:r>
        </a:p>
      </xdr:txBody>
    </xdr:sp>
    <xdr:clientData/>
  </xdr:twoCellAnchor>
  <xdr:twoCellAnchor>
    <xdr:from>
      <xdr:col>8</xdr:col>
      <xdr:colOff>133350</xdr:colOff>
      <xdr:row>113</xdr:row>
      <xdr:rowOff>0</xdr:rowOff>
    </xdr:from>
    <xdr:to>
      <xdr:col>8</xdr:col>
      <xdr:colOff>304800</xdr:colOff>
      <xdr:row>117</xdr:row>
      <xdr:rowOff>38100</xdr:rowOff>
    </xdr:to>
    <xdr:sp macro="" textlink="">
      <xdr:nvSpPr>
        <xdr:cNvPr id="239608" name="AutoShape 118"/>
        <xdr:cNvSpPr>
          <a:spLocks/>
        </xdr:cNvSpPr>
      </xdr:nvSpPr>
      <xdr:spPr bwMode="auto">
        <a:xfrm>
          <a:off x="2705100" y="19030950"/>
          <a:ext cx="171450" cy="685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114</xdr:row>
      <xdr:rowOff>104775</xdr:rowOff>
    </xdr:from>
    <xdr:to>
      <xdr:col>8</xdr:col>
      <xdr:colOff>95250</xdr:colOff>
      <xdr:row>116</xdr:row>
      <xdr:rowOff>0</xdr:rowOff>
    </xdr:to>
    <xdr:sp macro="" textlink="">
      <xdr:nvSpPr>
        <xdr:cNvPr id="71799" name="Text Box 119"/>
        <xdr:cNvSpPr txBox="1">
          <a:spLocks noChangeArrowheads="1"/>
        </xdr:cNvSpPr>
      </xdr:nvSpPr>
      <xdr:spPr bwMode="auto">
        <a:xfrm>
          <a:off x="1838325" y="19297650"/>
          <a:ext cx="8286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ETIMATION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16</xdr:row>
      <xdr:rowOff>133350</xdr:rowOff>
    </xdr:from>
    <xdr:to>
      <xdr:col>7</xdr:col>
      <xdr:colOff>533400</xdr:colOff>
      <xdr:row>20</xdr:row>
      <xdr:rowOff>85725</xdr:rowOff>
    </xdr:to>
    <xdr:sp macro="" textlink="">
      <xdr:nvSpPr>
        <xdr:cNvPr id="69980" name="Rectangle 1"/>
        <xdr:cNvSpPr>
          <a:spLocks noChangeArrowheads="1"/>
        </xdr:cNvSpPr>
      </xdr:nvSpPr>
      <xdr:spPr bwMode="auto">
        <a:xfrm>
          <a:off x="4162425" y="2752725"/>
          <a:ext cx="1962150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428625</xdr:colOff>
      <xdr:row>17</xdr:row>
      <xdr:rowOff>114300</xdr:rowOff>
    </xdr:from>
    <xdr:to>
      <xdr:col>8</xdr:col>
      <xdr:colOff>142875</xdr:colOff>
      <xdr:row>17</xdr:row>
      <xdr:rowOff>114300</xdr:rowOff>
    </xdr:to>
    <xdr:sp macro="" textlink="">
      <xdr:nvSpPr>
        <xdr:cNvPr id="69981" name="Line 2"/>
        <xdr:cNvSpPr>
          <a:spLocks noChangeShapeType="1"/>
        </xdr:cNvSpPr>
      </xdr:nvSpPr>
      <xdr:spPr bwMode="auto">
        <a:xfrm>
          <a:off x="3733800" y="2895600"/>
          <a:ext cx="276225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590550</xdr:colOff>
      <xdr:row>19</xdr:row>
      <xdr:rowOff>152400</xdr:rowOff>
    </xdr:from>
    <xdr:to>
      <xdr:col>8</xdr:col>
      <xdr:colOff>9525</xdr:colOff>
      <xdr:row>19</xdr:row>
      <xdr:rowOff>152400</xdr:rowOff>
    </xdr:to>
    <xdr:sp macro="" textlink="">
      <xdr:nvSpPr>
        <xdr:cNvPr id="69982" name="Line 3"/>
        <xdr:cNvSpPr>
          <a:spLocks noChangeShapeType="1"/>
        </xdr:cNvSpPr>
      </xdr:nvSpPr>
      <xdr:spPr bwMode="auto">
        <a:xfrm flipH="1">
          <a:off x="3895725" y="3257550"/>
          <a:ext cx="2466975" cy="0"/>
        </a:xfrm>
        <a:prstGeom prst="line">
          <a:avLst/>
        </a:prstGeom>
        <a:noFill/>
        <a:ln w="9525">
          <a:solidFill>
            <a:srgbClr val="339966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</xdr:col>
      <xdr:colOff>533400</xdr:colOff>
      <xdr:row>31</xdr:row>
      <xdr:rowOff>0</xdr:rowOff>
    </xdr:from>
    <xdr:to>
      <xdr:col>5</xdr:col>
      <xdr:colOff>581025</xdr:colOff>
      <xdr:row>50</xdr:row>
      <xdr:rowOff>114300</xdr:rowOff>
    </xdr:to>
    <xdr:pic>
      <xdr:nvPicPr>
        <xdr:cNvPr id="699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0" y="5086350"/>
          <a:ext cx="3352800" cy="3190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10</xdr:row>
      <xdr:rowOff>76200</xdr:rowOff>
    </xdr:from>
    <xdr:to>
      <xdr:col>2</xdr:col>
      <xdr:colOff>323850</xdr:colOff>
      <xdr:row>25</xdr:row>
      <xdr:rowOff>76200</xdr:rowOff>
    </xdr:to>
    <xdr:sp macro="" textlink="">
      <xdr:nvSpPr>
        <xdr:cNvPr id="69984" name="Line 5"/>
        <xdr:cNvSpPr>
          <a:spLocks noChangeShapeType="1"/>
        </xdr:cNvSpPr>
      </xdr:nvSpPr>
      <xdr:spPr bwMode="auto">
        <a:xfrm>
          <a:off x="2028825" y="1714500"/>
          <a:ext cx="0" cy="2438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14</xdr:col>
      <xdr:colOff>657225</xdr:colOff>
      <xdr:row>28</xdr:row>
      <xdr:rowOff>47625</xdr:rowOff>
    </xdr:to>
    <xdr:grpSp>
      <xdr:nvGrpSpPr>
        <xdr:cNvPr id="69985" name="Group 6"/>
        <xdr:cNvGrpSpPr>
          <a:grpSpLocks/>
        </xdr:cNvGrpSpPr>
      </xdr:nvGrpSpPr>
      <xdr:grpSpPr bwMode="auto">
        <a:xfrm>
          <a:off x="9305925" y="1476375"/>
          <a:ext cx="2305050" cy="3162300"/>
          <a:chOff x="907" y="138"/>
          <a:chExt cx="229" cy="332"/>
        </a:xfrm>
      </xdr:grpSpPr>
      <xdr:pic>
        <xdr:nvPicPr>
          <xdr:cNvPr id="69993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07" y="138"/>
            <a:ext cx="229" cy="332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9994" name="Oval 8"/>
          <xdr:cNvSpPr>
            <a:spLocks noChangeArrowheads="1"/>
          </xdr:cNvSpPr>
        </xdr:nvSpPr>
        <xdr:spPr bwMode="auto">
          <a:xfrm>
            <a:off x="1004" y="295"/>
            <a:ext cx="8" cy="8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0</xdr:colOff>
      <xdr:row>31</xdr:row>
      <xdr:rowOff>9525</xdr:rowOff>
    </xdr:from>
    <xdr:to>
      <xdr:col>17</xdr:col>
      <xdr:colOff>9525</xdr:colOff>
      <xdr:row>40</xdr:row>
      <xdr:rowOff>0</xdr:rowOff>
    </xdr:to>
    <xdr:sp macro="" textlink="">
      <xdr:nvSpPr>
        <xdr:cNvPr id="69986" name="Rectangle 9"/>
        <xdr:cNvSpPr>
          <a:spLocks noChangeArrowheads="1"/>
        </xdr:cNvSpPr>
      </xdr:nvSpPr>
      <xdr:spPr bwMode="auto">
        <a:xfrm>
          <a:off x="10953750" y="5095875"/>
          <a:ext cx="2295525" cy="1447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161925</xdr:colOff>
      <xdr:row>32</xdr:row>
      <xdr:rowOff>85725</xdr:rowOff>
    </xdr:from>
    <xdr:to>
      <xdr:col>17</xdr:col>
      <xdr:colOff>609600</xdr:colOff>
      <xdr:row>32</xdr:row>
      <xdr:rowOff>85725</xdr:rowOff>
    </xdr:to>
    <xdr:sp macro="" textlink="">
      <xdr:nvSpPr>
        <xdr:cNvPr id="69987" name="Line 10"/>
        <xdr:cNvSpPr>
          <a:spLocks noChangeShapeType="1"/>
        </xdr:cNvSpPr>
      </xdr:nvSpPr>
      <xdr:spPr bwMode="auto">
        <a:xfrm>
          <a:off x="10353675" y="5334000"/>
          <a:ext cx="349567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123825</xdr:colOff>
      <xdr:row>38</xdr:row>
      <xdr:rowOff>85725</xdr:rowOff>
    </xdr:from>
    <xdr:to>
      <xdr:col>17</xdr:col>
      <xdr:colOff>571500</xdr:colOff>
      <xdr:row>38</xdr:row>
      <xdr:rowOff>85725</xdr:rowOff>
    </xdr:to>
    <xdr:sp macro="" textlink="">
      <xdr:nvSpPr>
        <xdr:cNvPr id="69988" name="Line 11"/>
        <xdr:cNvSpPr>
          <a:spLocks noChangeShapeType="1"/>
        </xdr:cNvSpPr>
      </xdr:nvSpPr>
      <xdr:spPr bwMode="auto">
        <a:xfrm>
          <a:off x="10315575" y="6305550"/>
          <a:ext cx="3495675" cy="0"/>
        </a:xfrm>
        <a:prstGeom prst="line">
          <a:avLst/>
        </a:prstGeom>
        <a:noFill/>
        <a:ln w="38100">
          <a:solidFill>
            <a:srgbClr val="0000FF"/>
          </a:solidFill>
          <a:round/>
          <a:headEnd type="triangle" w="med" len="med"/>
          <a:tailEnd/>
        </a:ln>
      </xdr:spPr>
    </xdr:sp>
    <xdr:clientData/>
  </xdr:twoCellAnchor>
  <xdr:twoCellAnchor>
    <xdr:from>
      <xdr:col>14</xdr:col>
      <xdr:colOff>9525</xdr:colOff>
      <xdr:row>31</xdr:row>
      <xdr:rowOff>57150</xdr:rowOff>
    </xdr:from>
    <xdr:to>
      <xdr:col>16</xdr:col>
      <xdr:colOff>752475</xdr:colOff>
      <xdr:row>32</xdr:row>
      <xdr:rowOff>152400</xdr:rowOff>
    </xdr:to>
    <xdr:sp macro="" textlink="">
      <xdr:nvSpPr>
        <xdr:cNvPr id="69644" name="Text Box 12"/>
        <xdr:cNvSpPr txBox="1">
          <a:spLocks noChangeArrowheads="1"/>
        </xdr:cNvSpPr>
      </xdr:nvSpPr>
      <xdr:spPr bwMode="auto">
        <a:xfrm>
          <a:off x="10963275" y="5143500"/>
          <a:ext cx="22669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HELIUM</a:t>
          </a:r>
        </a:p>
      </xdr:txBody>
    </xdr:sp>
    <xdr:clientData/>
  </xdr:twoCellAnchor>
  <xdr:twoCellAnchor>
    <xdr:from>
      <xdr:col>14</xdr:col>
      <xdr:colOff>9525</xdr:colOff>
      <xdr:row>36</xdr:row>
      <xdr:rowOff>152400</xdr:rowOff>
    </xdr:from>
    <xdr:to>
      <xdr:col>16</xdr:col>
      <xdr:colOff>752475</xdr:colOff>
      <xdr:row>38</xdr:row>
      <xdr:rowOff>85725</xdr:rowOff>
    </xdr:to>
    <xdr:sp macro="" textlink="">
      <xdr:nvSpPr>
        <xdr:cNvPr id="69645" name="Text Box 13"/>
        <xdr:cNvSpPr txBox="1">
          <a:spLocks noChangeArrowheads="1"/>
        </xdr:cNvSpPr>
      </xdr:nvSpPr>
      <xdr:spPr bwMode="auto">
        <a:xfrm>
          <a:off x="10963275" y="6048375"/>
          <a:ext cx="22669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WATER</a:t>
          </a:r>
        </a:p>
      </xdr:txBody>
    </xdr:sp>
    <xdr:clientData/>
  </xdr:twoCellAnchor>
  <xdr:twoCellAnchor>
    <xdr:from>
      <xdr:col>14</xdr:col>
      <xdr:colOff>9525</xdr:colOff>
      <xdr:row>44</xdr:row>
      <xdr:rowOff>9525</xdr:rowOff>
    </xdr:from>
    <xdr:to>
      <xdr:col>16</xdr:col>
      <xdr:colOff>752475</xdr:colOff>
      <xdr:row>45</xdr:row>
      <xdr:rowOff>104775</xdr:rowOff>
    </xdr:to>
    <xdr:sp macro="" textlink="">
      <xdr:nvSpPr>
        <xdr:cNvPr id="69646" name="Text Box 14"/>
        <xdr:cNvSpPr txBox="1">
          <a:spLocks noChangeArrowheads="1"/>
        </xdr:cNvSpPr>
      </xdr:nvSpPr>
      <xdr:spPr bwMode="auto">
        <a:xfrm>
          <a:off x="10963275" y="7200900"/>
          <a:ext cx="22669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Arial Black"/>
            </a:rPr>
            <a:t>Pmax = 150 mbar</a:t>
          </a:r>
        </a:p>
      </xdr:txBody>
    </xdr:sp>
    <xdr:clientData/>
  </xdr:twoCellAnchor>
  <xdr:twoCellAnchor>
    <xdr:from>
      <xdr:col>13</xdr:col>
      <xdr:colOff>161925</xdr:colOff>
      <xdr:row>45</xdr:row>
      <xdr:rowOff>19050</xdr:rowOff>
    </xdr:from>
    <xdr:to>
      <xdr:col>17</xdr:col>
      <xdr:colOff>609600</xdr:colOff>
      <xdr:row>45</xdr:row>
      <xdr:rowOff>19050</xdr:rowOff>
    </xdr:to>
    <xdr:sp macro="" textlink="">
      <xdr:nvSpPr>
        <xdr:cNvPr id="69992" name="Line 15"/>
        <xdr:cNvSpPr>
          <a:spLocks noChangeShapeType="1"/>
        </xdr:cNvSpPr>
      </xdr:nvSpPr>
      <xdr:spPr bwMode="auto">
        <a:xfrm>
          <a:off x="10353675" y="7372350"/>
          <a:ext cx="3495675" cy="0"/>
        </a:xfrm>
        <a:prstGeom prst="line">
          <a:avLst/>
        </a:prstGeom>
        <a:noFill/>
        <a:ln w="3810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10</xdr:row>
      <xdr:rowOff>76200</xdr:rowOff>
    </xdr:from>
    <xdr:to>
      <xdr:col>23</xdr:col>
      <xdr:colOff>104775</xdr:colOff>
      <xdr:row>20</xdr:row>
      <xdr:rowOff>47625</xdr:rowOff>
    </xdr:to>
    <xdr:sp macro="" textlink="">
      <xdr:nvSpPr>
        <xdr:cNvPr id="66565" name="Rectangle 5"/>
        <xdr:cNvSpPr>
          <a:spLocks noChangeArrowheads="1"/>
        </xdr:cNvSpPr>
      </xdr:nvSpPr>
      <xdr:spPr bwMode="auto">
        <a:xfrm>
          <a:off x="2447925" y="1695450"/>
          <a:ext cx="1981200" cy="1590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ING-CRYG</a:t>
          </a:r>
        </a:p>
      </xdr:txBody>
    </xdr:sp>
    <xdr:clientData/>
  </xdr:twoCellAnchor>
  <xdr:twoCellAnchor>
    <xdr:from>
      <xdr:col>21</xdr:col>
      <xdr:colOff>28575</xdr:colOff>
      <xdr:row>8</xdr:row>
      <xdr:rowOff>95250</xdr:rowOff>
    </xdr:from>
    <xdr:to>
      <xdr:col>21</xdr:col>
      <xdr:colOff>28575</xdr:colOff>
      <xdr:row>23</xdr:row>
      <xdr:rowOff>0</xdr:rowOff>
    </xdr:to>
    <xdr:sp macro="" textlink="">
      <xdr:nvSpPr>
        <xdr:cNvPr id="66613" name="Line 7"/>
        <xdr:cNvSpPr>
          <a:spLocks noChangeShapeType="1"/>
        </xdr:cNvSpPr>
      </xdr:nvSpPr>
      <xdr:spPr bwMode="auto">
        <a:xfrm flipV="1">
          <a:off x="4029075" y="1390650"/>
          <a:ext cx="0" cy="2333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6</xdr:row>
      <xdr:rowOff>19050</xdr:rowOff>
    </xdr:from>
    <xdr:to>
      <xdr:col>17</xdr:col>
      <xdr:colOff>657225</xdr:colOff>
      <xdr:row>22</xdr:row>
      <xdr:rowOff>38100</xdr:rowOff>
    </xdr:to>
    <xdr:graphicFrame macro="">
      <xdr:nvGraphicFramePr>
        <xdr:cNvPr id="655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31</xdr:row>
      <xdr:rowOff>9525</xdr:rowOff>
    </xdr:from>
    <xdr:to>
      <xdr:col>19</xdr:col>
      <xdr:colOff>571500</xdr:colOff>
      <xdr:row>45</xdr:row>
      <xdr:rowOff>0</xdr:rowOff>
    </xdr:to>
    <xdr:pic>
      <xdr:nvPicPr>
        <xdr:cNvPr id="928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029200"/>
          <a:ext cx="658177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752475</xdr:colOff>
      <xdr:row>74</xdr:row>
      <xdr:rowOff>152400</xdr:rowOff>
    </xdr:from>
    <xdr:to>
      <xdr:col>7</xdr:col>
      <xdr:colOff>1076325</xdr:colOff>
      <xdr:row>76</xdr:row>
      <xdr:rowOff>152400</xdr:rowOff>
    </xdr:to>
    <xdr:grpSp>
      <xdr:nvGrpSpPr>
        <xdr:cNvPr id="92835" name="Group 8"/>
        <xdr:cNvGrpSpPr>
          <a:grpSpLocks noChangeAspect="1"/>
        </xdr:cNvGrpSpPr>
      </xdr:nvGrpSpPr>
      <xdr:grpSpPr bwMode="auto">
        <a:xfrm>
          <a:off x="6856758" y="12410661"/>
          <a:ext cx="323850" cy="331304"/>
          <a:chOff x="4468" y="2523"/>
          <a:chExt cx="136" cy="136"/>
        </a:xfrm>
      </xdr:grpSpPr>
      <xdr:sp macro="" textlink="">
        <xdr:nvSpPr>
          <xdr:cNvPr id="92858" name="Oval 9"/>
          <xdr:cNvSpPr>
            <a:spLocks noChangeAspect="1" noChangeArrowheads="1"/>
          </xdr:cNvSpPr>
        </xdr:nvSpPr>
        <xdr:spPr bwMode="auto">
          <a:xfrm>
            <a:off x="4468" y="2523"/>
            <a:ext cx="136" cy="136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92859" name="Group 10"/>
          <xdr:cNvGrpSpPr>
            <a:grpSpLocks noChangeAspect="1"/>
          </xdr:cNvGrpSpPr>
        </xdr:nvGrpSpPr>
        <xdr:grpSpPr bwMode="auto">
          <a:xfrm>
            <a:off x="4468" y="2523"/>
            <a:ext cx="136" cy="136"/>
            <a:chOff x="4785" y="482"/>
            <a:chExt cx="227" cy="544"/>
          </a:xfrm>
        </xdr:grpSpPr>
        <xdr:sp macro="" textlink="">
          <xdr:nvSpPr>
            <xdr:cNvPr id="92860" name="Line 11"/>
            <xdr:cNvSpPr>
              <a:spLocks noChangeAspect="1" noChangeShapeType="1"/>
            </xdr:cNvSpPr>
          </xdr:nvSpPr>
          <xdr:spPr bwMode="auto">
            <a:xfrm flipH="1">
              <a:off x="4830" y="482"/>
              <a:ext cx="182" cy="272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/>
            </a:ln>
          </xdr:spPr>
        </xdr:sp>
        <xdr:sp macro="" textlink="">
          <xdr:nvSpPr>
            <xdr:cNvPr id="92861" name="Line 12"/>
            <xdr:cNvSpPr>
              <a:spLocks noChangeAspect="1" noChangeShapeType="1"/>
            </xdr:cNvSpPr>
          </xdr:nvSpPr>
          <xdr:spPr bwMode="auto">
            <a:xfrm flipH="1" flipV="1">
              <a:off x="4830" y="754"/>
              <a:ext cx="137" cy="0"/>
            </a:xfrm>
            <a:prstGeom prst="line">
              <a:avLst/>
            </a:prstGeom>
            <a:noFill/>
            <a:ln w="9525">
              <a:solidFill>
                <a:srgbClr val="FF0000"/>
              </a:solidFill>
              <a:round/>
              <a:headEnd/>
              <a:tailEnd/>
            </a:ln>
          </xdr:spPr>
        </xdr:sp>
        <xdr:sp macro="" textlink="">
          <xdr:nvSpPr>
            <xdr:cNvPr id="92862" name="Line 13"/>
            <xdr:cNvSpPr>
              <a:spLocks noChangeAspect="1" noChangeShapeType="1"/>
            </xdr:cNvSpPr>
          </xdr:nvSpPr>
          <xdr:spPr bwMode="auto">
            <a:xfrm flipH="1">
              <a:off x="4785" y="754"/>
              <a:ext cx="182" cy="272"/>
            </a:xfrm>
            <a:prstGeom prst="line">
              <a:avLst/>
            </a:prstGeom>
            <a:noFill/>
            <a:ln w="28575">
              <a:solidFill>
                <a:srgbClr val="FF0000"/>
              </a:solidFill>
              <a:round/>
              <a:headEnd/>
              <a:tailEnd type="triangle" w="med" len="med"/>
            </a:ln>
          </xdr:spPr>
        </xdr:sp>
      </xdr:grpSp>
    </xdr:grpSp>
    <xdr:clientData/>
  </xdr:twoCellAnchor>
  <xdr:twoCellAnchor>
    <xdr:from>
      <xdr:col>6</xdr:col>
      <xdr:colOff>885825</xdr:colOff>
      <xdr:row>71</xdr:row>
      <xdr:rowOff>114300</xdr:rowOff>
    </xdr:from>
    <xdr:to>
      <xdr:col>7</xdr:col>
      <xdr:colOff>914400</xdr:colOff>
      <xdr:row>74</xdr:row>
      <xdr:rowOff>152400</xdr:rowOff>
    </xdr:to>
    <xdr:cxnSp macro="">
      <xdr:nvCxnSpPr>
        <xdr:cNvPr id="92836" name="AutoShape 14"/>
        <xdr:cNvCxnSpPr>
          <a:cxnSpLocks noChangeShapeType="1"/>
          <a:stCxn id="92853" idx="3"/>
          <a:endCxn id="92858" idx="0"/>
        </xdr:cNvCxnSpPr>
      </xdr:nvCxnSpPr>
      <xdr:spPr bwMode="auto">
        <a:xfrm>
          <a:off x="5972175" y="11610975"/>
          <a:ext cx="1028700" cy="523875"/>
        </a:xfrm>
        <a:prstGeom prst="bentConnector2">
          <a:avLst/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4</xdr:col>
      <xdr:colOff>152400</xdr:colOff>
      <xdr:row>71</xdr:row>
      <xdr:rowOff>9525</xdr:rowOff>
    </xdr:from>
    <xdr:to>
      <xdr:col>6</xdr:col>
      <xdr:colOff>904875</xdr:colOff>
      <xdr:row>72</xdr:row>
      <xdr:rowOff>47625</xdr:rowOff>
    </xdr:to>
    <xdr:grpSp>
      <xdr:nvGrpSpPr>
        <xdr:cNvPr id="92837" name="Group 15"/>
        <xdr:cNvGrpSpPr>
          <a:grpSpLocks/>
        </xdr:cNvGrpSpPr>
      </xdr:nvGrpSpPr>
      <xdr:grpSpPr bwMode="auto">
        <a:xfrm>
          <a:off x="3366052" y="11770829"/>
          <a:ext cx="2640910" cy="203753"/>
          <a:chOff x="1727" y="1537"/>
          <a:chExt cx="1662" cy="124"/>
        </a:xfrm>
      </xdr:grpSpPr>
      <xdr:grpSp>
        <xdr:nvGrpSpPr>
          <xdr:cNvPr id="92852" name="Group 16"/>
          <xdr:cNvGrpSpPr>
            <a:grpSpLocks/>
          </xdr:cNvGrpSpPr>
        </xdr:nvGrpSpPr>
        <xdr:grpSpPr bwMode="auto">
          <a:xfrm flipV="1">
            <a:off x="1729" y="1537"/>
            <a:ext cx="1660" cy="124"/>
            <a:chOff x="-2044" y="579"/>
            <a:chExt cx="5265" cy="393"/>
          </a:xfrm>
        </xdr:grpSpPr>
        <xdr:sp macro="" textlink="">
          <xdr:nvSpPr>
            <xdr:cNvPr id="92854" name="Oval 17"/>
            <xdr:cNvSpPr>
              <a:spLocks noChangeArrowheads="1"/>
            </xdr:cNvSpPr>
          </xdr:nvSpPr>
          <xdr:spPr bwMode="auto">
            <a:xfrm>
              <a:off x="-2044" y="579"/>
              <a:ext cx="195" cy="393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55" name="Line 18"/>
            <xdr:cNvSpPr>
              <a:spLocks noChangeShapeType="1"/>
            </xdr:cNvSpPr>
          </xdr:nvSpPr>
          <xdr:spPr bwMode="auto">
            <a:xfrm>
              <a:off x="-1949" y="580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56" name="Line 19"/>
            <xdr:cNvSpPr>
              <a:spLocks noChangeShapeType="1"/>
            </xdr:cNvSpPr>
          </xdr:nvSpPr>
          <xdr:spPr bwMode="auto">
            <a:xfrm>
              <a:off x="-1949" y="972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57" name="Arc 20"/>
            <xdr:cNvSpPr>
              <a:spLocks/>
            </xdr:cNvSpPr>
          </xdr:nvSpPr>
          <xdr:spPr bwMode="auto">
            <a:xfrm>
              <a:off x="3122" y="579"/>
              <a:ext cx="99" cy="390"/>
            </a:xfrm>
            <a:custGeom>
              <a:avLst/>
              <a:gdLst>
                <a:gd name="T0" fmla="*/ 0 w 21600"/>
                <a:gd name="T1" fmla="*/ 0 h 43199"/>
                <a:gd name="T2" fmla="*/ 0 w 21600"/>
                <a:gd name="T3" fmla="*/ 0 h 43199"/>
                <a:gd name="T4" fmla="*/ 0 w 21600"/>
                <a:gd name="T5" fmla="*/ 0 h 43199"/>
                <a:gd name="T6" fmla="*/ 0 60000 65536"/>
                <a:gd name="T7" fmla="*/ 0 60000 65536"/>
                <a:gd name="T8" fmla="*/ 0 60000 65536"/>
                <a:gd name="T9" fmla="*/ 0 w 21600"/>
                <a:gd name="T10" fmla="*/ 0 h 43199"/>
                <a:gd name="T11" fmla="*/ 21600 w 21600"/>
                <a:gd name="T12" fmla="*/ 43199 h 4319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43199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</a:path>
                <a:path w="21600" h="43199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92853" name="Rectangle 21"/>
          <xdr:cNvSpPr>
            <a:spLocks noChangeArrowheads="1"/>
          </xdr:cNvSpPr>
        </xdr:nvSpPr>
        <xdr:spPr bwMode="auto">
          <a:xfrm>
            <a:off x="1727" y="1539"/>
            <a:ext cx="1651" cy="1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152400</xdr:colOff>
      <xdr:row>79</xdr:row>
      <xdr:rowOff>66675</xdr:rowOff>
    </xdr:from>
    <xdr:to>
      <xdr:col>6</xdr:col>
      <xdr:colOff>904875</xdr:colOff>
      <xdr:row>80</xdr:row>
      <xdr:rowOff>104775</xdr:rowOff>
    </xdr:to>
    <xdr:grpSp>
      <xdr:nvGrpSpPr>
        <xdr:cNvPr id="92838" name="Group 22"/>
        <xdr:cNvGrpSpPr>
          <a:grpSpLocks/>
        </xdr:cNvGrpSpPr>
      </xdr:nvGrpSpPr>
      <xdr:grpSpPr bwMode="auto">
        <a:xfrm>
          <a:off x="3366052" y="13153197"/>
          <a:ext cx="2640910" cy="203752"/>
          <a:chOff x="1727" y="1537"/>
          <a:chExt cx="1662" cy="124"/>
        </a:xfrm>
      </xdr:grpSpPr>
      <xdr:grpSp>
        <xdr:nvGrpSpPr>
          <xdr:cNvPr id="92846" name="Group 23"/>
          <xdr:cNvGrpSpPr>
            <a:grpSpLocks/>
          </xdr:cNvGrpSpPr>
        </xdr:nvGrpSpPr>
        <xdr:grpSpPr bwMode="auto">
          <a:xfrm flipV="1">
            <a:off x="1729" y="1537"/>
            <a:ext cx="1660" cy="124"/>
            <a:chOff x="-2044" y="579"/>
            <a:chExt cx="5265" cy="393"/>
          </a:xfrm>
        </xdr:grpSpPr>
        <xdr:sp macro="" textlink="">
          <xdr:nvSpPr>
            <xdr:cNvPr id="92848" name="Oval 24"/>
            <xdr:cNvSpPr>
              <a:spLocks noChangeArrowheads="1"/>
            </xdr:cNvSpPr>
          </xdr:nvSpPr>
          <xdr:spPr bwMode="auto">
            <a:xfrm>
              <a:off x="-2044" y="579"/>
              <a:ext cx="195" cy="393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49" name="Line 25"/>
            <xdr:cNvSpPr>
              <a:spLocks noChangeShapeType="1"/>
            </xdr:cNvSpPr>
          </xdr:nvSpPr>
          <xdr:spPr bwMode="auto">
            <a:xfrm>
              <a:off x="-1949" y="580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50" name="Line 26"/>
            <xdr:cNvSpPr>
              <a:spLocks noChangeShapeType="1"/>
            </xdr:cNvSpPr>
          </xdr:nvSpPr>
          <xdr:spPr bwMode="auto">
            <a:xfrm>
              <a:off x="-1949" y="972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2851" name="Arc 27"/>
            <xdr:cNvSpPr>
              <a:spLocks/>
            </xdr:cNvSpPr>
          </xdr:nvSpPr>
          <xdr:spPr bwMode="auto">
            <a:xfrm>
              <a:off x="3122" y="579"/>
              <a:ext cx="99" cy="390"/>
            </a:xfrm>
            <a:custGeom>
              <a:avLst/>
              <a:gdLst>
                <a:gd name="T0" fmla="*/ 0 w 21600"/>
                <a:gd name="T1" fmla="*/ 0 h 43199"/>
                <a:gd name="T2" fmla="*/ 0 w 21600"/>
                <a:gd name="T3" fmla="*/ 0 h 43199"/>
                <a:gd name="T4" fmla="*/ 0 w 21600"/>
                <a:gd name="T5" fmla="*/ 0 h 43199"/>
                <a:gd name="T6" fmla="*/ 0 60000 65536"/>
                <a:gd name="T7" fmla="*/ 0 60000 65536"/>
                <a:gd name="T8" fmla="*/ 0 60000 65536"/>
                <a:gd name="T9" fmla="*/ 0 w 21600"/>
                <a:gd name="T10" fmla="*/ 0 h 43199"/>
                <a:gd name="T11" fmla="*/ 21600 w 21600"/>
                <a:gd name="T12" fmla="*/ 43199 h 4319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43199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</a:path>
                <a:path w="21600" h="43199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92847" name="Rectangle 28"/>
          <xdr:cNvSpPr>
            <a:spLocks noChangeArrowheads="1"/>
          </xdr:cNvSpPr>
        </xdr:nvSpPr>
        <xdr:spPr bwMode="auto">
          <a:xfrm>
            <a:off x="1727" y="1539"/>
            <a:ext cx="1651" cy="1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885825</xdr:colOff>
      <xdr:row>76</xdr:row>
      <xdr:rowOff>152400</xdr:rowOff>
    </xdr:from>
    <xdr:to>
      <xdr:col>7</xdr:col>
      <xdr:colOff>914400</xdr:colOff>
      <xdr:row>80</xdr:row>
      <xdr:rowOff>9525</xdr:rowOff>
    </xdr:to>
    <xdr:cxnSp macro="">
      <xdr:nvCxnSpPr>
        <xdr:cNvPr id="92839" name="AutoShape 29"/>
        <xdr:cNvCxnSpPr>
          <a:cxnSpLocks noChangeShapeType="1"/>
          <a:stCxn id="92858" idx="4"/>
          <a:endCxn id="92847" idx="3"/>
        </xdr:cNvCxnSpPr>
      </xdr:nvCxnSpPr>
      <xdr:spPr bwMode="auto">
        <a:xfrm rot="5400000">
          <a:off x="6234112" y="12196763"/>
          <a:ext cx="504825" cy="1028700"/>
        </a:xfrm>
        <a:prstGeom prst="bentConnector2">
          <a:avLst/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oneCellAnchor>
    <xdr:from>
      <xdr:col>3</xdr:col>
      <xdr:colOff>47625</xdr:colOff>
      <xdr:row>79</xdr:row>
      <xdr:rowOff>28575</xdr:rowOff>
    </xdr:from>
    <xdr:ext cx="646587" cy="269369"/>
    <xdr:sp macro="" textlink="">
      <xdr:nvSpPr>
        <xdr:cNvPr id="92190" name="Text Box 30"/>
        <xdr:cNvSpPr txBox="1">
          <a:spLocks noChangeArrowheads="1"/>
        </xdr:cNvSpPr>
      </xdr:nvSpPr>
      <xdr:spPr bwMode="auto">
        <a:xfrm>
          <a:off x="1886364" y="13115097"/>
          <a:ext cx="646587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Return</a:t>
          </a:r>
        </a:p>
      </xdr:txBody>
    </xdr:sp>
    <xdr:clientData/>
  </xdr:oneCellAnchor>
  <xdr:twoCellAnchor>
    <xdr:from>
      <xdr:col>3</xdr:col>
      <xdr:colOff>676275</xdr:colOff>
      <xdr:row>80</xdr:row>
      <xdr:rowOff>9525</xdr:rowOff>
    </xdr:from>
    <xdr:to>
      <xdr:col>4</xdr:col>
      <xdr:colOff>152400</xdr:colOff>
      <xdr:row>80</xdr:row>
      <xdr:rowOff>9525</xdr:rowOff>
    </xdr:to>
    <xdr:cxnSp macro="">
      <xdr:nvCxnSpPr>
        <xdr:cNvPr id="92841" name="AutoShape 31"/>
        <xdr:cNvCxnSpPr>
          <a:cxnSpLocks noChangeShapeType="1"/>
          <a:stCxn id="92847" idx="1"/>
          <a:endCxn id="92190" idx="3"/>
        </xdr:cNvCxnSpPr>
      </xdr:nvCxnSpPr>
      <xdr:spPr bwMode="auto">
        <a:xfrm rot="10800000">
          <a:off x="2505075" y="12963525"/>
          <a:ext cx="847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oneCellAnchor>
    <xdr:from>
      <xdr:col>3</xdr:col>
      <xdr:colOff>38100</xdr:colOff>
      <xdr:row>70</xdr:row>
      <xdr:rowOff>133350</xdr:rowOff>
    </xdr:from>
    <xdr:ext cx="655244" cy="269369"/>
    <xdr:sp macro="" textlink="">
      <xdr:nvSpPr>
        <xdr:cNvPr id="92192" name="Text Box 32"/>
        <xdr:cNvSpPr txBox="1">
          <a:spLocks noChangeArrowheads="1"/>
        </xdr:cNvSpPr>
      </xdr:nvSpPr>
      <xdr:spPr bwMode="auto">
        <a:xfrm>
          <a:off x="1876839" y="11729002"/>
          <a:ext cx="655244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Supply</a:t>
          </a:r>
        </a:p>
      </xdr:txBody>
    </xdr:sp>
    <xdr:clientData/>
  </xdr:oneCellAnchor>
  <xdr:twoCellAnchor>
    <xdr:from>
      <xdr:col>3</xdr:col>
      <xdr:colOff>676275</xdr:colOff>
      <xdr:row>71</xdr:row>
      <xdr:rowOff>114300</xdr:rowOff>
    </xdr:from>
    <xdr:to>
      <xdr:col>4</xdr:col>
      <xdr:colOff>152400</xdr:colOff>
      <xdr:row>71</xdr:row>
      <xdr:rowOff>114300</xdr:rowOff>
    </xdr:to>
    <xdr:cxnSp macro="">
      <xdr:nvCxnSpPr>
        <xdr:cNvPr id="92843" name="AutoShape 33"/>
        <xdr:cNvCxnSpPr>
          <a:cxnSpLocks noChangeShapeType="1"/>
          <a:stCxn id="92853" idx="1"/>
          <a:endCxn id="92192" idx="3"/>
        </xdr:cNvCxnSpPr>
      </xdr:nvCxnSpPr>
      <xdr:spPr bwMode="auto">
        <a:xfrm rot="10800000">
          <a:off x="2505075" y="11610975"/>
          <a:ext cx="847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7</xdr:col>
      <xdr:colOff>1085850</xdr:colOff>
      <xdr:row>74</xdr:row>
      <xdr:rowOff>142875</xdr:rowOff>
    </xdr:from>
    <xdr:ext cx="720710" cy="564257"/>
    <xdr:sp macro="" textlink="">
      <xdr:nvSpPr>
        <xdr:cNvPr id="92194" name="Text Box 34"/>
        <xdr:cNvSpPr txBox="1">
          <a:spLocks noChangeArrowheads="1"/>
        </xdr:cNvSpPr>
      </xdr:nvSpPr>
      <xdr:spPr bwMode="auto">
        <a:xfrm>
          <a:off x="7190133" y="12401136"/>
          <a:ext cx="720710" cy="564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FF0000"/>
              </a:solidFill>
              <a:latin typeface="Arial"/>
              <a:cs typeface="Arial"/>
            </a:rPr>
            <a:t>400W</a:t>
          </a:r>
        </a:p>
        <a:p>
          <a:pPr algn="l" rtl="0">
            <a:defRPr sz="1000"/>
          </a:pPr>
          <a:endParaRPr lang="fr-FR" sz="16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5</xdr:col>
      <xdr:colOff>581025</xdr:colOff>
      <xdr:row>81</xdr:row>
      <xdr:rowOff>85725</xdr:rowOff>
    </xdr:from>
    <xdr:to>
      <xdr:col>5</xdr:col>
      <xdr:colOff>781050</xdr:colOff>
      <xdr:row>83</xdr:row>
      <xdr:rowOff>152400</xdr:rowOff>
    </xdr:to>
    <xdr:sp macro="" textlink="">
      <xdr:nvSpPr>
        <xdr:cNvPr id="92845" name="AutoShape 35"/>
        <xdr:cNvSpPr>
          <a:spLocks noChangeArrowheads="1"/>
        </xdr:cNvSpPr>
      </xdr:nvSpPr>
      <xdr:spPr bwMode="auto">
        <a:xfrm rot="-5400000">
          <a:off x="4448175" y="13296900"/>
          <a:ext cx="390525" cy="200025"/>
        </a:xfrm>
        <a:prstGeom prst="notchedRightArrow">
          <a:avLst>
            <a:gd name="adj1" fmla="val 50000"/>
            <a:gd name="adj2" fmla="val 48810"/>
          </a:avLst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65</xdr:row>
      <xdr:rowOff>47625</xdr:rowOff>
    </xdr:from>
    <xdr:to>
      <xdr:col>10</xdr:col>
      <xdr:colOff>581025</xdr:colOff>
      <xdr:row>66</xdr:row>
      <xdr:rowOff>76200</xdr:rowOff>
    </xdr:to>
    <xdr:sp macro="" textlink="">
      <xdr:nvSpPr>
        <xdr:cNvPr id="59399" name="Text Box 7"/>
        <xdr:cNvSpPr txBox="1">
          <a:spLocks noChangeArrowheads="1"/>
        </xdr:cNvSpPr>
      </xdr:nvSpPr>
      <xdr:spPr bwMode="auto">
        <a:xfrm>
          <a:off x="8172450" y="10744200"/>
          <a:ext cx="20955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HP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85725</xdr:colOff>
      <xdr:row>65</xdr:row>
      <xdr:rowOff>85725</xdr:rowOff>
    </xdr:from>
    <xdr:to>
      <xdr:col>8</xdr:col>
      <xdr:colOff>295275</xdr:colOff>
      <xdr:row>66</xdr:row>
      <xdr:rowOff>104775</xdr:rowOff>
    </xdr:to>
    <xdr:sp macro="" textlink="">
      <xdr:nvSpPr>
        <xdr:cNvPr id="59400" name="Text Box 8"/>
        <xdr:cNvSpPr txBox="1">
          <a:spLocks noChangeArrowheads="1"/>
        </xdr:cNvSpPr>
      </xdr:nvSpPr>
      <xdr:spPr bwMode="auto">
        <a:xfrm>
          <a:off x="6362700" y="10782300"/>
          <a:ext cx="209550" cy="1809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LP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742950</xdr:colOff>
      <xdr:row>66</xdr:row>
      <xdr:rowOff>133350</xdr:rowOff>
    </xdr:from>
    <xdr:to>
      <xdr:col>9</xdr:col>
      <xdr:colOff>409575</xdr:colOff>
      <xdr:row>68</xdr:row>
      <xdr:rowOff>28575</xdr:rowOff>
    </xdr:to>
    <xdr:cxnSp macro="">
      <xdr:nvCxnSpPr>
        <xdr:cNvPr id="342330" name="AutoShape 9"/>
        <xdr:cNvCxnSpPr>
          <a:cxnSpLocks noChangeShapeType="1"/>
          <a:stCxn id="342417" idx="0"/>
          <a:endCxn id="59437" idx="3"/>
        </xdr:cNvCxnSpPr>
      </xdr:nvCxnSpPr>
      <xdr:spPr bwMode="auto">
        <a:xfrm rot="5400000" flipH="1">
          <a:off x="7124700" y="10887075"/>
          <a:ext cx="219075" cy="428625"/>
        </a:xfrm>
        <a:prstGeom prst="bentConnector2">
          <a:avLst/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9</xdr:col>
      <xdr:colOff>276225</xdr:colOff>
      <xdr:row>64</xdr:row>
      <xdr:rowOff>114300</xdr:rowOff>
    </xdr:from>
    <xdr:to>
      <xdr:col>9</xdr:col>
      <xdr:colOff>352425</xdr:colOff>
      <xdr:row>65</xdr:row>
      <xdr:rowOff>19050</xdr:rowOff>
    </xdr:to>
    <xdr:sp macro="" textlink="">
      <xdr:nvSpPr>
        <xdr:cNvPr id="342331" name="Rectangle 10"/>
        <xdr:cNvSpPr>
          <a:spLocks noChangeArrowheads="1"/>
        </xdr:cNvSpPr>
      </xdr:nvSpPr>
      <xdr:spPr bwMode="auto">
        <a:xfrm>
          <a:off x="7315200" y="10648950"/>
          <a:ext cx="76200" cy="66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65</xdr:row>
      <xdr:rowOff>19050</xdr:rowOff>
    </xdr:from>
    <xdr:to>
      <xdr:col>9</xdr:col>
      <xdr:colOff>704850</xdr:colOff>
      <xdr:row>66</xdr:row>
      <xdr:rowOff>66675</xdr:rowOff>
    </xdr:to>
    <xdr:cxnSp macro="">
      <xdr:nvCxnSpPr>
        <xdr:cNvPr id="342332" name="AutoShape 11"/>
        <xdr:cNvCxnSpPr>
          <a:cxnSpLocks noChangeShapeType="1"/>
          <a:stCxn id="342331" idx="2"/>
          <a:endCxn id="59428" idx="1"/>
        </xdr:cNvCxnSpPr>
      </xdr:nvCxnSpPr>
      <xdr:spPr bwMode="auto">
        <a:xfrm rot="16200000" flipH="1">
          <a:off x="7443788" y="10625137"/>
          <a:ext cx="209550" cy="390525"/>
        </a:xfrm>
        <a:prstGeom prst="bentConnector2">
          <a:avLst/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8</xdr:col>
      <xdr:colOff>228600</xdr:colOff>
      <xdr:row>63</xdr:row>
      <xdr:rowOff>133350</xdr:rowOff>
    </xdr:from>
    <xdr:to>
      <xdr:col>9</xdr:col>
      <xdr:colOff>276225</xdr:colOff>
      <xdr:row>64</xdr:row>
      <xdr:rowOff>152400</xdr:rowOff>
    </xdr:to>
    <xdr:cxnSp macro="">
      <xdr:nvCxnSpPr>
        <xdr:cNvPr id="342333" name="AutoShape 12"/>
        <xdr:cNvCxnSpPr>
          <a:cxnSpLocks noChangeShapeType="1"/>
          <a:stCxn id="342413" idx="0"/>
          <a:endCxn id="342331" idx="1"/>
        </xdr:cNvCxnSpPr>
      </xdr:nvCxnSpPr>
      <xdr:spPr bwMode="auto">
        <a:xfrm rot="10800000" flipH="1" flipV="1">
          <a:off x="6505575" y="10506075"/>
          <a:ext cx="809625" cy="180975"/>
        </a:xfrm>
        <a:prstGeom prst="bentConnector3">
          <a:avLst>
            <a:gd name="adj1" fmla="val -29412"/>
          </a:avLst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9</xdr:col>
      <xdr:colOff>352425</xdr:colOff>
      <xdr:row>63</xdr:row>
      <xdr:rowOff>123825</xdr:rowOff>
    </xdr:from>
    <xdr:to>
      <xdr:col>10</xdr:col>
      <xdr:colOff>457200</xdr:colOff>
      <xdr:row>64</xdr:row>
      <xdr:rowOff>152400</xdr:rowOff>
    </xdr:to>
    <xdr:cxnSp macro="">
      <xdr:nvCxnSpPr>
        <xdr:cNvPr id="342334" name="AutoShape 13"/>
        <xdr:cNvCxnSpPr>
          <a:cxnSpLocks noChangeShapeType="1"/>
          <a:stCxn id="342409" idx="0"/>
          <a:endCxn id="342331" idx="3"/>
        </xdr:cNvCxnSpPr>
      </xdr:nvCxnSpPr>
      <xdr:spPr bwMode="auto">
        <a:xfrm flipH="1">
          <a:off x="7391400" y="10496550"/>
          <a:ext cx="866775" cy="190500"/>
        </a:xfrm>
        <a:prstGeom prst="bentConnector3">
          <a:avLst>
            <a:gd name="adj1" fmla="val -26375"/>
          </a:avLst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9</xdr:col>
      <xdr:colOff>123825</xdr:colOff>
      <xdr:row>71</xdr:row>
      <xdr:rowOff>0</xdr:rowOff>
    </xdr:from>
    <xdr:to>
      <xdr:col>9</xdr:col>
      <xdr:colOff>695325</xdr:colOff>
      <xdr:row>73</xdr:row>
      <xdr:rowOff>114300</xdr:rowOff>
    </xdr:to>
    <xdr:sp macro="" textlink="">
      <xdr:nvSpPr>
        <xdr:cNvPr id="342335" name="AutoShape 14"/>
        <xdr:cNvSpPr>
          <a:spLocks noChangeArrowheads="1"/>
        </xdr:cNvSpPr>
      </xdr:nvSpPr>
      <xdr:spPr bwMode="auto">
        <a:xfrm rot="-5400000">
          <a:off x="7229475" y="11601450"/>
          <a:ext cx="438150" cy="571500"/>
        </a:xfrm>
        <a:custGeom>
          <a:avLst/>
          <a:gdLst>
            <a:gd name="T0" fmla="*/ 157749724 w 21600"/>
            <a:gd name="T1" fmla="*/ 200037363 h 21600"/>
            <a:gd name="T2" fmla="*/ 90142717 w 21600"/>
            <a:gd name="T3" fmla="*/ 400074726 h 21600"/>
            <a:gd name="T4" fmla="*/ 22535801 w 21600"/>
            <a:gd name="T5" fmla="*/ 200037363 h 21600"/>
            <a:gd name="T6" fmla="*/ 90142717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695325</xdr:colOff>
      <xdr:row>65</xdr:row>
      <xdr:rowOff>38100</xdr:rowOff>
    </xdr:from>
    <xdr:to>
      <xdr:col>8</xdr:col>
      <xdr:colOff>238125</xdr:colOff>
      <xdr:row>65</xdr:row>
      <xdr:rowOff>142875</xdr:rowOff>
    </xdr:to>
    <xdr:sp macro="" textlink="">
      <xdr:nvSpPr>
        <xdr:cNvPr id="59407" name="Text Box 15"/>
        <xdr:cNvSpPr txBox="1">
          <a:spLocks noChangeArrowheads="1"/>
        </xdr:cNvSpPr>
      </xdr:nvSpPr>
      <xdr:spPr bwMode="auto">
        <a:xfrm>
          <a:off x="6210300" y="10734675"/>
          <a:ext cx="3048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+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571500</xdr:colOff>
      <xdr:row>65</xdr:row>
      <xdr:rowOff>76200</xdr:rowOff>
    </xdr:from>
    <xdr:to>
      <xdr:col>10</xdr:col>
      <xdr:colOff>647700</xdr:colOff>
      <xdr:row>66</xdr:row>
      <xdr:rowOff>9525</xdr:rowOff>
    </xdr:to>
    <xdr:sp macro="" textlink="">
      <xdr:nvSpPr>
        <xdr:cNvPr id="59408" name="Text Box 16"/>
        <xdr:cNvSpPr txBox="1">
          <a:spLocks noChangeArrowheads="1"/>
        </xdr:cNvSpPr>
      </xdr:nvSpPr>
      <xdr:spPr bwMode="auto">
        <a:xfrm>
          <a:off x="8372475" y="10772775"/>
          <a:ext cx="76200" cy="95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-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342900</xdr:colOff>
      <xdr:row>59</xdr:row>
      <xdr:rowOff>0</xdr:rowOff>
    </xdr:from>
    <xdr:to>
      <xdr:col>9</xdr:col>
      <xdr:colOff>342900</xdr:colOff>
      <xdr:row>59</xdr:row>
      <xdr:rowOff>142875</xdr:rowOff>
    </xdr:to>
    <xdr:cxnSp macro="">
      <xdr:nvCxnSpPr>
        <xdr:cNvPr id="342338" name="AutoShape 18"/>
        <xdr:cNvCxnSpPr>
          <a:cxnSpLocks noChangeShapeType="1"/>
          <a:stCxn id="342340" idx="0"/>
          <a:endCxn id="59418" idx="3"/>
        </xdr:cNvCxnSpPr>
      </xdr:nvCxnSpPr>
      <xdr:spPr bwMode="auto">
        <a:xfrm flipV="1">
          <a:off x="7381875" y="9725025"/>
          <a:ext cx="0" cy="142875"/>
        </a:xfrm>
        <a:prstGeom prst="straightConnector1">
          <a:avLst/>
        </a:prstGeom>
        <a:noFill/>
        <a:ln w="28575">
          <a:solidFill>
            <a:srgbClr val="663300"/>
          </a:solidFill>
          <a:round/>
          <a:headEnd/>
          <a:tailEnd/>
        </a:ln>
      </xdr:spPr>
    </xdr:cxnSp>
    <xdr:clientData/>
  </xdr:twoCellAnchor>
  <xdr:twoCellAnchor>
    <xdr:from>
      <xdr:col>9</xdr:col>
      <xdr:colOff>38100</xdr:colOff>
      <xdr:row>65</xdr:row>
      <xdr:rowOff>38100</xdr:rowOff>
    </xdr:from>
    <xdr:to>
      <xdr:col>9</xdr:col>
      <xdr:colOff>609600</xdr:colOff>
      <xdr:row>66</xdr:row>
      <xdr:rowOff>66675</xdr:rowOff>
    </xdr:to>
    <xdr:sp macro="" textlink="">
      <xdr:nvSpPr>
        <xdr:cNvPr id="59414" name="Text Box 22"/>
        <xdr:cNvSpPr txBox="1">
          <a:spLocks noChangeArrowheads="1"/>
        </xdr:cNvSpPr>
      </xdr:nvSpPr>
      <xdr:spPr bwMode="auto">
        <a:xfrm>
          <a:off x="7077075" y="10734675"/>
          <a:ext cx="57150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DSDX302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285750</xdr:colOff>
      <xdr:row>59</xdr:row>
      <xdr:rowOff>142875</xdr:rowOff>
    </xdr:from>
    <xdr:to>
      <xdr:col>9</xdr:col>
      <xdr:colOff>390525</xdr:colOff>
      <xdr:row>61</xdr:row>
      <xdr:rowOff>28575</xdr:rowOff>
    </xdr:to>
    <xdr:sp macro="" textlink="">
      <xdr:nvSpPr>
        <xdr:cNvPr id="342340" name="AutoShape 25"/>
        <xdr:cNvSpPr>
          <a:spLocks noChangeArrowheads="1"/>
        </xdr:cNvSpPr>
      </xdr:nvSpPr>
      <xdr:spPr bwMode="auto">
        <a:xfrm flipH="1">
          <a:off x="7324725" y="9867900"/>
          <a:ext cx="104775" cy="2095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600075</xdr:colOff>
      <xdr:row>55</xdr:row>
      <xdr:rowOff>28575</xdr:rowOff>
    </xdr:from>
    <xdr:to>
      <xdr:col>10</xdr:col>
      <xdr:colOff>66675</xdr:colOff>
      <xdr:row>59</xdr:row>
      <xdr:rowOff>0</xdr:rowOff>
    </xdr:to>
    <xdr:sp macro="" textlink="">
      <xdr:nvSpPr>
        <xdr:cNvPr id="59418" name="AutoShape 26"/>
        <xdr:cNvSpPr>
          <a:spLocks noChangeArrowheads="1"/>
        </xdr:cNvSpPr>
      </xdr:nvSpPr>
      <xdr:spPr bwMode="auto">
        <a:xfrm rot="5400000">
          <a:off x="7062787" y="8920163"/>
          <a:ext cx="619125" cy="9906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Cycle Buffer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352425</xdr:colOff>
      <xdr:row>62</xdr:row>
      <xdr:rowOff>38100</xdr:rowOff>
    </xdr:from>
    <xdr:to>
      <xdr:col>11</xdr:col>
      <xdr:colOff>123825</xdr:colOff>
      <xdr:row>62</xdr:row>
      <xdr:rowOff>142875</xdr:rowOff>
    </xdr:to>
    <xdr:sp macro="" textlink="">
      <xdr:nvSpPr>
        <xdr:cNvPr id="59421" name="Text Box 29"/>
        <xdr:cNvSpPr txBox="1">
          <a:spLocks noChangeArrowheads="1"/>
        </xdr:cNvSpPr>
      </xdr:nvSpPr>
      <xdr:spPr bwMode="auto">
        <a:xfrm>
          <a:off x="8153400" y="10248900"/>
          <a:ext cx="5334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PCV289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695325</xdr:colOff>
      <xdr:row>62</xdr:row>
      <xdr:rowOff>28575</xdr:rowOff>
    </xdr:from>
    <xdr:to>
      <xdr:col>8</xdr:col>
      <xdr:colOff>304800</xdr:colOff>
      <xdr:row>62</xdr:row>
      <xdr:rowOff>123825</xdr:rowOff>
    </xdr:to>
    <xdr:sp macro="" textlink="">
      <xdr:nvSpPr>
        <xdr:cNvPr id="59422" name="Text Box 30"/>
        <xdr:cNvSpPr txBox="1">
          <a:spLocks noChangeArrowheads="1"/>
        </xdr:cNvSpPr>
      </xdr:nvSpPr>
      <xdr:spPr bwMode="auto">
        <a:xfrm>
          <a:off x="6210300" y="10239375"/>
          <a:ext cx="371475" cy="95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PCV280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133350</xdr:colOff>
      <xdr:row>69</xdr:row>
      <xdr:rowOff>104775</xdr:rowOff>
    </xdr:from>
    <xdr:to>
      <xdr:col>9</xdr:col>
      <xdr:colOff>666750</xdr:colOff>
      <xdr:row>70</xdr:row>
      <xdr:rowOff>47625</xdr:rowOff>
    </xdr:to>
    <xdr:sp macro="" textlink="">
      <xdr:nvSpPr>
        <xdr:cNvPr id="59423" name="Text Box 31"/>
        <xdr:cNvSpPr txBox="1">
          <a:spLocks noChangeArrowheads="1"/>
        </xdr:cNvSpPr>
      </xdr:nvSpPr>
      <xdr:spPr bwMode="auto">
        <a:xfrm>
          <a:off x="7172325" y="11449050"/>
          <a:ext cx="5334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PCV275</a:t>
          </a:r>
        </a:p>
        <a:p>
          <a:pPr algn="ctr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704850</xdr:colOff>
      <xdr:row>65</xdr:row>
      <xdr:rowOff>104775</xdr:rowOff>
    </xdr:from>
    <xdr:to>
      <xdr:col>10</xdr:col>
      <xdr:colOff>285750</xdr:colOff>
      <xdr:row>67</xdr:row>
      <xdr:rowOff>38100</xdr:rowOff>
    </xdr:to>
    <xdr:grpSp>
      <xdr:nvGrpSpPr>
        <xdr:cNvPr id="342345" name="Group 32"/>
        <xdr:cNvGrpSpPr>
          <a:grpSpLocks/>
        </xdr:cNvGrpSpPr>
      </xdr:nvGrpSpPr>
      <xdr:grpSpPr bwMode="auto">
        <a:xfrm>
          <a:off x="7743825" y="10801350"/>
          <a:ext cx="342900" cy="257175"/>
          <a:chOff x="2197" y="2444"/>
          <a:chExt cx="216" cy="160"/>
        </a:xfrm>
      </xdr:grpSpPr>
      <xdr:sp macro="" textlink="">
        <xdr:nvSpPr>
          <xdr:cNvPr id="342421" name="Line 33"/>
          <xdr:cNvSpPr>
            <a:spLocks noChangeShapeType="1"/>
          </xdr:cNvSpPr>
        </xdr:nvSpPr>
        <xdr:spPr bwMode="auto">
          <a:xfrm>
            <a:off x="2365" y="2523"/>
            <a:ext cx="48" cy="0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</xdr:sp>
      <xdr:grpSp>
        <xdr:nvGrpSpPr>
          <xdr:cNvPr id="342422" name="Group 34"/>
          <xdr:cNvGrpSpPr>
            <a:grpSpLocks/>
          </xdr:cNvGrpSpPr>
        </xdr:nvGrpSpPr>
        <xdr:grpSpPr bwMode="auto">
          <a:xfrm>
            <a:off x="2197" y="2444"/>
            <a:ext cx="172" cy="160"/>
            <a:chOff x="2359" y="2499"/>
            <a:chExt cx="172" cy="160"/>
          </a:xfrm>
        </xdr:grpSpPr>
        <xdr:sp macro="" textlink="">
          <xdr:nvSpPr>
            <xdr:cNvPr id="342423" name="Oval 35"/>
            <xdr:cNvSpPr>
              <a:spLocks noChangeArrowheads="1"/>
            </xdr:cNvSpPr>
          </xdr:nvSpPr>
          <xdr:spPr bwMode="auto">
            <a:xfrm>
              <a:off x="2359" y="2499"/>
              <a:ext cx="168" cy="160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0000"/>
              </a:solidFill>
              <a:round/>
              <a:headEnd/>
              <a:tailEnd/>
            </a:ln>
          </xdr:spPr>
        </xdr:sp>
        <xdr:sp macro="" textlink="">
          <xdr:nvSpPr>
            <xdr:cNvPr id="59428" name="Text Box 36"/>
            <xdr:cNvSpPr txBox="1">
              <a:spLocks noChangeArrowheads="1"/>
            </xdr:cNvSpPr>
          </xdr:nvSpPr>
          <xdr:spPr bwMode="auto">
            <a:xfrm>
              <a:off x="2359" y="2505"/>
              <a:ext cx="174" cy="1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fr-FR" sz="600" b="0" i="0" u="none" strike="noStrike" baseline="0">
                  <a:solidFill>
                    <a:srgbClr val="FF6600"/>
                  </a:solidFill>
                  <a:latin typeface="Arial"/>
                  <a:cs typeface="Arial"/>
                </a:rPr>
                <a:t>PT</a:t>
              </a:r>
            </a:p>
            <a:p>
              <a:pPr algn="ctr" rtl="0">
                <a:defRPr sz="1000"/>
              </a:pPr>
              <a:r>
                <a:rPr lang="fr-FR" sz="600" b="0" i="0" u="none" strike="noStrike" baseline="0">
                  <a:solidFill>
                    <a:srgbClr val="FF6600"/>
                  </a:solidFill>
                  <a:latin typeface="Arial"/>
                  <a:cs typeface="Arial"/>
                </a:rPr>
                <a:t>290</a:t>
              </a:r>
            </a:p>
            <a:p>
              <a:pPr algn="ctr" rtl="0">
                <a:defRPr sz="1000"/>
              </a:pPr>
              <a:endPara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8</xdr:col>
      <xdr:colOff>390525</xdr:colOff>
      <xdr:row>66</xdr:row>
      <xdr:rowOff>133350</xdr:rowOff>
    </xdr:from>
    <xdr:to>
      <xdr:col>8</xdr:col>
      <xdr:colOff>466725</xdr:colOff>
      <xdr:row>66</xdr:row>
      <xdr:rowOff>133350</xdr:rowOff>
    </xdr:to>
    <xdr:sp macro="" textlink="">
      <xdr:nvSpPr>
        <xdr:cNvPr id="342346" name="Line 42"/>
        <xdr:cNvSpPr>
          <a:spLocks noChangeShapeType="1"/>
        </xdr:cNvSpPr>
      </xdr:nvSpPr>
      <xdr:spPr bwMode="auto">
        <a:xfrm>
          <a:off x="6667500" y="10991850"/>
          <a:ext cx="7620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8</xdr:col>
      <xdr:colOff>466725</xdr:colOff>
      <xdr:row>66</xdr:row>
      <xdr:rowOff>9525</xdr:rowOff>
    </xdr:from>
    <xdr:to>
      <xdr:col>8</xdr:col>
      <xdr:colOff>742950</xdr:colOff>
      <xdr:row>67</xdr:row>
      <xdr:rowOff>104775</xdr:rowOff>
    </xdr:to>
    <xdr:grpSp>
      <xdr:nvGrpSpPr>
        <xdr:cNvPr id="342347" name="Group 43"/>
        <xdr:cNvGrpSpPr>
          <a:grpSpLocks/>
        </xdr:cNvGrpSpPr>
      </xdr:nvGrpSpPr>
      <xdr:grpSpPr bwMode="auto">
        <a:xfrm>
          <a:off x="6743700" y="10868025"/>
          <a:ext cx="276225" cy="257175"/>
          <a:chOff x="2359" y="2499"/>
          <a:chExt cx="172" cy="160"/>
        </a:xfrm>
      </xdr:grpSpPr>
      <xdr:sp macro="" textlink="">
        <xdr:nvSpPr>
          <xdr:cNvPr id="342419" name="Oval 44"/>
          <xdr:cNvSpPr>
            <a:spLocks noChangeArrowheads="1"/>
          </xdr:cNvSpPr>
        </xdr:nvSpPr>
        <xdr:spPr bwMode="auto">
          <a:xfrm>
            <a:off x="2359" y="2499"/>
            <a:ext cx="168" cy="160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59437" name="Text Box 45"/>
          <xdr:cNvSpPr txBox="1">
            <a:spLocks noChangeArrowheads="1"/>
          </xdr:cNvSpPr>
        </xdr:nvSpPr>
        <xdr:spPr bwMode="auto">
          <a:xfrm>
            <a:off x="2359" y="2505"/>
            <a:ext cx="17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PT</a:t>
            </a:r>
          </a:p>
          <a:p>
            <a:pPr algn="ctr" rtl="0">
              <a:defRPr sz="1000"/>
            </a:pPr>
            <a:r>
              <a: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275</a:t>
            </a:r>
          </a:p>
          <a:p>
            <a:pPr algn="ctr" rtl="0">
              <a:defRPr sz="1000"/>
            </a:pPr>
            <a:endParaRPr lang="fr-FR" sz="600" b="0" i="0" u="none" strike="noStrike" baseline="0">
              <a:solidFill>
                <a:srgbClr val="FF66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9</xdr:col>
      <xdr:colOff>304800</xdr:colOff>
      <xdr:row>68</xdr:row>
      <xdr:rowOff>28575</xdr:rowOff>
    </xdr:from>
    <xdr:to>
      <xdr:col>9</xdr:col>
      <xdr:colOff>514350</xdr:colOff>
      <xdr:row>69</xdr:row>
      <xdr:rowOff>76200</xdr:rowOff>
    </xdr:to>
    <xdr:grpSp>
      <xdr:nvGrpSpPr>
        <xdr:cNvPr id="342348" name="Group 46"/>
        <xdr:cNvGrpSpPr>
          <a:grpSpLocks/>
        </xdr:cNvGrpSpPr>
      </xdr:nvGrpSpPr>
      <xdr:grpSpPr bwMode="auto">
        <a:xfrm>
          <a:off x="7343775" y="11210925"/>
          <a:ext cx="209550" cy="209550"/>
          <a:chOff x="749" y="2953"/>
          <a:chExt cx="130" cy="130"/>
        </a:xfrm>
      </xdr:grpSpPr>
      <xdr:sp macro="" textlink="">
        <xdr:nvSpPr>
          <xdr:cNvPr id="342415" name="Line 47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416" name="AutoShape 48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17" name="AutoShape 49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18" name="Rectangle 50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371475</xdr:colOff>
      <xdr:row>64</xdr:row>
      <xdr:rowOff>66675</xdr:rowOff>
    </xdr:from>
    <xdr:to>
      <xdr:col>9</xdr:col>
      <xdr:colOff>314325</xdr:colOff>
      <xdr:row>69</xdr:row>
      <xdr:rowOff>19050</xdr:rowOff>
    </xdr:to>
    <xdr:cxnSp macro="">
      <xdr:nvCxnSpPr>
        <xdr:cNvPr id="342349" name="AutoShape 51"/>
        <xdr:cNvCxnSpPr>
          <a:cxnSpLocks noChangeShapeType="1"/>
          <a:stCxn id="342412" idx="2"/>
          <a:endCxn id="342416" idx="2"/>
        </xdr:cNvCxnSpPr>
      </xdr:nvCxnSpPr>
      <xdr:spPr bwMode="auto">
        <a:xfrm rot="16200000" flipH="1">
          <a:off x="6619875" y="10629900"/>
          <a:ext cx="762000" cy="70485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9</xdr:col>
      <xdr:colOff>523875</xdr:colOff>
      <xdr:row>64</xdr:row>
      <xdr:rowOff>66675</xdr:rowOff>
    </xdr:from>
    <xdr:to>
      <xdr:col>10</xdr:col>
      <xdr:colOff>295275</xdr:colOff>
      <xdr:row>69</xdr:row>
      <xdr:rowOff>19050</xdr:rowOff>
    </xdr:to>
    <xdr:cxnSp macro="">
      <xdr:nvCxnSpPr>
        <xdr:cNvPr id="342350" name="AutoShape 52"/>
        <xdr:cNvCxnSpPr>
          <a:cxnSpLocks noChangeShapeType="1"/>
          <a:stCxn id="342416" idx="0"/>
          <a:endCxn id="342408" idx="0"/>
        </xdr:cNvCxnSpPr>
      </xdr:nvCxnSpPr>
      <xdr:spPr bwMode="auto">
        <a:xfrm flipV="1">
          <a:off x="7562850" y="10601325"/>
          <a:ext cx="533400" cy="76200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8</xdr:col>
      <xdr:colOff>219075</xdr:colOff>
      <xdr:row>63</xdr:row>
      <xdr:rowOff>28575</xdr:rowOff>
    </xdr:from>
    <xdr:to>
      <xdr:col>8</xdr:col>
      <xdr:colOff>428625</xdr:colOff>
      <xdr:row>64</xdr:row>
      <xdr:rowOff>66675</xdr:rowOff>
    </xdr:to>
    <xdr:grpSp>
      <xdr:nvGrpSpPr>
        <xdr:cNvPr id="342351" name="Group 53"/>
        <xdr:cNvGrpSpPr>
          <a:grpSpLocks/>
        </xdr:cNvGrpSpPr>
      </xdr:nvGrpSpPr>
      <xdr:grpSpPr bwMode="auto">
        <a:xfrm rot="-5400000">
          <a:off x="6500812" y="10396538"/>
          <a:ext cx="200025" cy="209550"/>
          <a:chOff x="749" y="2953"/>
          <a:chExt cx="130" cy="130"/>
        </a:xfrm>
      </xdr:grpSpPr>
      <xdr:sp macro="" textlink="">
        <xdr:nvSpPr>
          <xdr:cNvPr id="342411" name="Line 54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412" name="AutoShape 55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13" name="AutoShape 56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14" name="Rectangle 57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371475</xdr:colOff>
      <xdr:row>61</xdr:row>
      <xdr:rowOff>28575</xdr:rowOff>
    </xdr:from>
    <xdr:to>
      <xdr:col>9</xdr:col>
      <xdr:colOff>342900</xdr:colOff>
      <xdr:row>63</xdr:row>
      <xdr:rowOff>28575</xdr:rowOff>
    </xdr:to>
    <xdr:cxnSp macro="">
      <xdr:nvCxnSpPr>
        <xdr:cNvPr id="342352" name="AutoShape 58"/>
        <xdr:cNvCxnSpPr>
          <a:cxnSpLocks noChangeShapeType="1"/>
          <a:stCxn id="342412" idx="0"/>
          <a:endCxn id="342340" idx="2"/>
        </xdr:cNvCxnSpPr>
      </xdr:nvCxnSpPr>
      <xdr:spPr bwMode="auto">
        <a:xfrm rot="-5400000">
          <a:off x="6853238" y="9872662"/>
          <a:ext cx="323850" cy="733425"/>
        </a:xfrm>
        <a:prstGeom prst="bentConnector3">
          <a:avLst>
            <a:gd name="adj1" fmla="val 50000"/>
          </a:avLst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10</xdr:col>
      <xdr:colOff>247650</xdr:colOff>
      <xdr:row>63</xdr:row>
      <xdr:rowOff>28575</xdr:rowOff>
    </xdr:from>
    <xdr:to>
      <xdr:col>10</xdr:col>
      <xdr:colOff>457200</xdr:colOff>
      <xdr:row>64</xdr:row>
      <xdr:rowOff>76200</xdr:rowOff>
    </xdr:to>
    <xdr:grpSp>
      <xdr:nvGrpSpPr>
        <xdr:cNvPr id="342353" name="Group 59"/>
        <xdr:cNvGrpSpPr>
          <a:grpSpLocks/>
        </xdr:cNvGrpSpPr>
      </xdr:nvGrpSpPr>
      <xdr:grpSpPr bwMode="auto">
        <a:xfrm rot="5400000">
          <a:off x="8048625" y="10401300"/>
          <a:ext cx="209550" cy="209550"/>
          <a:chOff x="749" y="2953"/>
          <a:chExt cx="130" cy="130"/>
        </a:xfrm>
      </xdr:grpSpPr>
      <xdr:sp macro="" textlink="">
        <xdr:nvSpPr>
          <xdr:cNvPr id="342407" name="Line 60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408" name="AutoShape 61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09" name="AutoShape 62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10" name="Rectangle 63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342900</xdr:colOff>
      <xdr:row>61</xdr:row>
      <xdr:rowOff>28575</xdr:rowOff>
    </xdr:from>
    <xdr:to>
      <xdr:col>10</xdr:col>
      <xdr:colOff>295275</xdr:colOff>
      <xdr:row>63</xdr:row>
      <xdr:rowOff>19050</xdr:rowOff>
    </xdr:to>
    <xdr:cxnSp macro="">
      <xdr:nvCxnSpPr>
        <xdr:cNvPr id="342354" name="AutoShape 64"/>
        <xdr:cNvCxnSpPr>
          <a:cxnSpLocks noChangeShapeType="1"/>
          <a:stCxn id="342408" idx="2"/>
          <a:endCxn id="342340" idx="2"/>
        </xdr:cNvCxnSpPr>
      </xdr:nvCxnSpPr>
      <xdr:spPr bwMode="auto">
        <a:xfrm rot="5400000" flipH="1">
          <a:off x="7581900" y="9877425"/>
          <a:ext cx="314325" cy="714375"/>
        </a:xfrm>
        <a:prstGeom prst="bentConnector3">
          <a:avLst>
            <a:gd name="adj1" fmla="val 48486"/>
          </a:avLst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8</xdr:col>
      <xdr:colOff>371475</xdr:colOff>
      <xdr:row>64</xdr:row>
      <xdr:rowOff>66675</xdr:rowOff>
    </xdr:from>
    <xdr:to>
      <xdr:col>9</xdr:col>
      <xdr:colOff>123825</xdr:colOff>
      <xdr:row>72</xdr:row>
      <xdr:rowOff>57150</xdr:rowOff>
    </xdr:to>
    <xdr:cxnSp macro="">
      <xdr:nvCxnSpPr>
        <xdr:cNvPr id="342355" name="AutoShape 65"/>
        <xdr:cNvCxnSpPr>
          <a:cxnSpLocks noChangeShapeType="1"/>
          <a:stCxn id="342412" idx="2"/>
          <a:endCxn id="342335" idx="3"/>
        </xdr:cNvCxnSpPr>
      </xdr:nvCxnSpPr>
      <xdr:spPr bwMode="auto">
        <a:xfrm rot="16200000" flipH="1">
          <a:off x="6262687" y="10987088"/>
          <a:ext cx="1285875" cy="51435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9</xdr:col>
      <xdr:colOff>695325</xdr:colOff>
      <xdr:row>64</xdr:row>
      <xdr:rowOff>66675</xdr:rowOff>
    </xdr:from>
    <xdr:to>
      <xdr:col>10</xdr:col>
      <xdr:colOff>295275</xdr:colOff>
      <xdr:row>72</xdr:row>
      <xdr:rowOff>57150</xdr:rowOff>
    </xdr:to>
    <xdr:cxnSp macro="">
      <xdr:nvCxnSpPr>
        <xdr:cNvPr id="342356" name="AutoShape 66"/>
        <xdr:cNvCxnSpPr>
          <a:cxnSpLocks noChangeShapeType="1"/>
          <a:stCxn id="342335" idx="1"/>
          <a:endCxn id="342408" idx="0"/>
        </xdr:cNvCxnSpPr>
      </xdr:nvCxnSpPr>
      <xdr:spPr bwMode="auto">
        <a:xfrm flipV="1">
          <a:off x="7734300" y="10601325"/>
          <a:ext cx="361950" cy="1285875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 editAs="oneCell">
    <xdr:from>
      <xdr:col>6</xdr:col>
      <xdr:colOff>628650</xdr:colOff>
      <xdr:row>15</xdr:row>
      <xdr:rowOff>38100</xdr:rowOff>
    </xdr:from>
    <xdr:to>
      <xdr:col>8</xdr:col>
      <xdr:colOff>47625</xdr:colOff>
      <xdr:row>24</xdr:row>
      <xdr:rowOff>123825</xdr:rowOff>
    </xdr:to>
    <xdr:pic>
      <xdr:nvPicPr>
        <xdr:cNvPr id="342357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5" y="2638425"/>
          <a:ext cx="942975" cy="1543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485775</xdr:colOff>
      <xdr:row>15</xdr:row>
      <xdr:rowOff>38100</xdr:rowOff>
    </xdr:from>
    <xdr:to>
      <xdr:col>10</xdr:col>
      <xdr:colOff>581025</xdr:colOff>
      <xdr:row>31</xdr:row>
      <xdr:rowOff>133350</xdr:rowOff>
    </xdr:to>
    <xdr:pic>
      <xdr:nvPicPr>
        <xdr:cNvPr id="342358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50" y="2638425"/>
          <a:ext cx="857250" cy="2686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15</xdr:row>
      <xdr:rowOff>38100</xdr:rowOff>
    </xdr:from>
    <xdr:to>
      <xdr:col>9</xdr:col>
      <xdr:colOff>371475</xdr:colOff>
      <xdr:row>25</xdr:row>
      <xdr:rowOff>114300</xdr:rowOff>
    </xdr:to>
    <xdr:pic>
      <xdr:nvPicPr>
        <xdr:cNvPr id="342359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72225" y="2638425"/>
          <a:ext cx="1038225" cy="1695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371475</xdr:colOff>
      <xdr:row>31</xdr:row>
      <xdr:rowOff>114300</xdr:rowOff>
    </xdr:from>
    <xdr:to>
      <xdr:col>4</xdr:col>
      <xdr:colOff>581025</xdr:colOff>
      <xdr:row>32</xdr:row>
      <xdr:rowOff>142875</xdr:rowOff>
    </xdr:to>
    <xdr:sp macro="" textlink="">
      <xdr:nvSpPr>
        <xdr:cNvPr id="59571" name="Text Box 179"/>
        <xdr:cNvSpPr txBox="1">
          <a:spLocks noChangeArrowheads="1"/>
        </xdr:cNvSpPr>
      </xdr:nvSpPr>
      <xdr:spPr bwMode="auto">
        <a:xfrm>
          <a:off x="3419475" y="5305425"/>
          <a:ext cx="20955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HP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85725</xdr:colOff>
      <xdr:row>31</xdr:row>
      <xdr:rowOff>152400</xdr:rowOff>
    </xdr:from>
    <xdr:to>
      <xdr:col>2</xdr:col>
      <xdr:colOff>295275</xdr:colOff>
      <xdr:row>33</xdr:row>
      <xdr:rowOff>9525</xdr:rowOff>
    </xdr:to>
    <xdr:sp macro="" textlink="">
      <xdr:nvSpPr>
        <xdr:cNvPr id="59572" name="Text Box 180"/>
        <xdr:cNvSpPr txBox="1">
          <a:spLocks noChangeArrowheads="1"/>
        </xdr:cNvSpPr>
      </xdr:nvSpPr>
      <xdr:spPr bwMode="auto">
        <a:xfrm>
          <a:off x="1609725" y="5343525"/>
          <a:ext cx="209550" cy="1809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LP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742950</xdr:colOff>
      <xdr:row>33</xdr:row>
      <xdr:rowOff>38100</xdr:rowOff>
    </xdr:from>
    <xdr:to>
      <xdr:col>3</xdr:col>
      <xdr:colOff>409575</xdr:colOff>
      <xdr:row>34</xdr:row>
      <xdr:rowOff>95250</xdr:rowOff>
    </xdr:to>
    <xdr:cxnSp macro="">
      <xdr:nvCxnSpPr>
        <xdr:cNvPr id="342362" name="AutoShape 181"/>
        <xdr:cNvCxnSpPr>
          <a:cxnSpLocks noChangeShapeType="1"/>
          <a:stCxn id="342399" idx="0"/>
          <a:endCxn id="59596" idx="3"/>
        </xdr:cNvCxnSpPr>
      </xdr:nvCxnSpPr>
      <xdr:spPr bwMode="auto">
        <a:xfrm rot="5400000" flipH="1">
          <a:off x="2371725" y="5448300"/>
          <a:ext cx="219075" cy="428625"/>
        </a:xfrm>
        <a:prstGeom prst="bentConnector2">
          <a:avLst/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3</xdr:col>
      <xdr:colOff>276225</xdr:colOff>
      <xdr:row>31</xdr:row>
      <xdr:rowOff>19050</xdr:rowOff>
    </xdr:from>
    <xdr:to>
      <xdr:col>3</xdr:col>
      <xdr:colOff>352425</xdr:colOff>
      <xdr:row>31</xdr:row>
      <xdr:rowOff>85725</xdr:rowOff>
    </xdr:to>
    <xdr:sp macro="" textlink="">
      <xdr:nvSpPr>
        <xdr:cNvPr id="342363" name="Rectangle 182"/>
        <xdr:cNvSpPr>
          <a:spLocks noChangeArrowheads="1"/>
        </xdr:cNvSpPr>
      </xdr:nvSpPr>
      <xdr:spPr bwMode="auto">
        <a:xfrm>
          <a:off x="2562225" y="5210175"/>
          <a:ext cx="76200" cy="66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314325</xdr:colOff>
      <xdr:row>31</xdr:row>
      <xdr:rowOff>85725</xdr:rowOff>
    </xdr:from>
    <xdr:to>
      <xdr:col>3</xdr:col>
      <xdr:colOff>704850</xdr:colOff>
      <xdr:row>32</xdr:row>
      <xdr:rowOff>133350</xdr:rowOff>
    </xdr:to>
    <xdr:cxnSp macro="">
      <xdr:nvCxnSpPr>
        <xdr:cNvPr id="342364" name="AutoShape 183"/>
        <xdr:cNvCxnSpPr>
          <a:cxnSpLocks noChangeShapeType="1"/>
          <a:stCxn id="342363" idx="2"/>
          <a:endCxn id="59592" idx="1"/>
        </xdr:cNvCxnSpPr>
      </xdr:nvCxnSpPr>
      <xdr:spPr bwMode="auto">
        <a:xfrm rot="16200000" flipH="1">
          <a:off x="2690813" y="5186362"/>
          <a:ext cx="209550" cy="390525"/>
        </a:xfrm>
        <a:prstGeom prst="bentConnector2">
          <a:avLst/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2</xdr:col>
      <xdr:colOff>228600</xdr:colOff>
      <xdr:row>30</xdr:row>
      <xdr:rowOff>38100</xdr:rowOff>
    </xdr:from>
    <xdr:to>
      <xdr:col>3</xdr:col>
      <xdr:colOff>276225</xdr:colOff>
      <xdr:row>31</xdr:row>
      <xdr:rowOff>57150</xdr:rowOff>
    </xdr:to>
    <xdr:cxnSp macro="">
      <xdr:nvCxnSpPr>
        <xdr:cNvPr id="342365" name="AutoShape 184"/>
        <xdr:cNvCxnSpPr>
          <a:cxnSpLocks noChangeShapeType="1"/>
          <a:stCxn id="342395" idx="0"/>
          <a:endCxn id="342363" idx="1"/>
        </xdr:cNvCxnSpPr>
      </xdr:nvCxnSpPr>
      <xdr:spPr bwMode="auto">
        <a:xfrm rot="10800000" flipH="1" flipV="1">
          <a:off x="1752600" y="5067300"/>
          <a:ext cx="809625" cy="180975"/>
        </a:xfrm>
        <a:prstGeom prst="bentConnector3">
          <a:avLst>
            <a:gd name="adj1" fmla="val -29412"/>
          </a:avLst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3</xdr:col>
      <xdr:colOff>352425</xdr:colOff>
      <xdr:row>30</xdr:row>
      <xdr:rowOff>38100</xdr:rowOff>
    </xdr:from>
    <xdr:to>
      <xdr:col>4</xdr:col>
      <xdr:colOff>457200</xdr:colOff>
      <xdr:row>31</xdr:row>
      <xdr:rowOff>57150</xdr:rowOff>
    </xdr:to>
    <xdr:cxnSp macro="">
      <xdr:nvCxnSpPr>
        <xdr:cNvPr id="342366" name="AutoShape 185"/>
        <xdr:cNvCxnSpPr>
          <a:cxnSpLocks noChangeShapeType="1"/>
          <a:stCxn id="342391" idx="0"/>
          <a:endCxn id="342363" idx="3"/>
        </xdr:cNvCxnSpPr>
      </xdr:nvCxnSpPr>
      <xdr:spPr bwMode="auto">
        <a:xfrm flipH="1">
          <a:off x="2638425" y="5067300"/>
          <a:ext cx="866775" cy="180975"/>
        </a:xfrm>
        <a:prstGeom prst="bentConnector3">
          <a:avLst>
            <a:gd name="adj1" fmla="val -26375"/>
          </a:avLst>
        </a:prstGeom>
        <a:noFill/>
        <a:ln w="9525">
          <a:solidFill>
            <a:srgbClr val="FF0000"/>
          </a:solidFill>
          <a:prstDash val="dash"/>
          <a:miter lim="800000"/>
          <a:headEnd type="triangle" w="med" len="med"/>
          <a:tailEnd/>
        </a:ln>
      </xdr:spPr>
    </xdr:cxnSp>
    <xdr:clientData/>
  </xdr:twoCellAnchor>
  <xdr:twoCellAnchor>
    <xdr:from>
      <xdr:col>3</xdr:col>
      <xdr:colOff>123825</xdr:colOff>
      <xdr:row>37</xdr:row>
      <xdr:rowOff>66675</xdr:rowOff>
    </xdr:from>
    <xdr:to>
      <xdr:col>3</xdr:col>
      <xdr:colOff>695325</xdr:colOff>
      <xdr:row>40</xdr:row>
      <xdr:rowOff>19050</xdr:rowOff>
    </xdr:to>
    <xdr:sp macro="" textlink="">
      <xdr:nvSpPr>
        <xdr:cNvPr id="342367" name="AutoShape 186"/>
        <xdr:cNvSpPr>
          <a:spLocks noChangeArrowheads="1"/>
        </xdr:cNvSpPr>
      </xdr:nvSpPr>
      <xdr:spPr bwMode="auto">
        <a:xfrm rot="-5400000">
          <a:off x="2476500" y="6162675"/>
          <a:ext cx="438150" cy="571500"/>
        </a:xfrm>
        <a:custGeom>
          <a:avLst/>
          <a:gdLst>
            <a:gd name="T0" fmla="*/ 157749724 w 21600"/>
            <a:gd name="T1" fmla="*/ 200037363 h 21600"/>
            <a:gd name="T2" fmla="*/ 90142717 w 21600"/>
            <a:gd name="T3" fmla="*/ 400074726 h 21600"/>
            <a:gd name="T4" fmla="*/ 22535801 w 21600"/>
            <a:gd name="T5" fmla="*/ 200037363 h 21600"/>
            <a:gd name="T6" fmla="*/ 90142717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31</xdr:row>
      <xdr:rowOff>104775</xdr:rowOff>
    </xdr:from>
    <xdr:to>
      <xdr:col>2</xdr:col>
      <xdr:colOff>238125</xdr:colOff>
      <xdr:row>32</xdr:row>
      <xdr:rowOff>47625</xdr:rowOff>
    </xdr:to>
    <xdr:sp macro="" textlink="">
      <xdr:nvSpPr>
        <xdr:cNvPr id="59579" name="Text Box 187"/>
        <xdr:cNvSpPr txBox="1">
          <a:spLocks noChangeArrowheads="1"/>
        </xdr:cNvSpPr>
      </xdr:nvSpPr>
      <xdr:spPr bwMode="auto">
        <a:xfrm>
          <a:off x="1457325" y="5295900"/>
          <a:ext cx="3048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+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571500</xdr:colOff>
      <xdr:row>31</xdr:row>
      <xdr:rowOff>142875</xdr:rowOff>
    </xdr:from>
    <xdr:to>
      <xdr:col>4</xdr:col>
      <xdr:colOff>647700</xdr:colOff>
      <xdr:row>32</xdr:row>
      <xdr:rowOff>76200</xdr:rowOff>
    </xdr:to>
    <xdr:sp macro="" textlink="">
      <xdr:nvSpPr>
        <xdr:cNvPr id="59580" name="Text Box 188"/>
        <xdr:cNvSpPr txBox="1">
          <a:spLocks noChangeArrowheads="1"/>
        </xdr:cNvSpPr>
      </xdr:nvSpPr>
      <xdr:spPr bwMode="auto">
        <a:xfrm>
          <a:off x="3619500" y="5334000"/>
          <a:ext cx="76200" cy="95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333300"/>
              </a:solidFill>
              <a:latin typeface="Arial"/>
              <a:cs typeface="Arial"/>
            </a:rPr>
            <a:t>-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3333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342900</xdr:colOff>
      <xdr:row>25</xdr:row>
      <xdr:rowOff>66675</xdr:rowOff>
    </xdr:from>
    <xdr:to>
      <xdr:col>3</xdr:col>
      <xdr:colOff>342900</xdr:colOff>
      <xdr:row>26</xdr:row>
      <xdr:rowOff>47625</xdr:rowOff>
    </xdr:to>
    <xdr:cxnSp macro="">
      <xdr:nvCxnSpPr>
        <xdr:cNvPr id="342370" name="AutoShape 189"/>
        <xdr:cNvCxnSpPr>
          <a:cxnSpLocks noChangeShapeType="1"/>
          <a:stCxn id="342372" idx="0"/>
          <a:endCxn id="59584" idx="3"/>
        </xdr:cNvCxnSpPr>
      </xdr:nvCxnSpPr>
      <xdr:spPr bwMode="auto">
        <a:xfrm flipV="1">
          <a:off x="2628900" y="4286250"/>
          <a:ext cx="0" cy="142875"/>
        </a:xfrm>
        <a:prstGeom prst="straightConnector1">
          <a:avLst/>
        </a:prstGeom>
        <a:noFill/>
        <a:ln w="28575">
          <a:solidFill>
            <a:srgbClr val="663300"/>
          </a:solidFill>
          <a:round/>
          <a:headEnd/>
          <a:tailEnd/>
        </a:ln>
      </xdr:spPr>
    </xdr:cxnSp>
    <xdr:clientData/>
  </xdr:twoCellAnchor>
  <xdr:twoCellAnchor>
    <xdr:from>
      <xdr:col>3</xdr:col>
      <xdr:colOff>38100</xdr:colOff>
      <xdr:row>31</xdr:row>
      <xdr:rowOff>104775</xdr:rowOff>
    </xdr:from>
    <xdr:to>
      <xdr:col>3</xdr:col>
      <xdr:colOff>609600</xdr:colOff>
      <xdr:row>32</xdr:row>
      <xdr:rowOff>133350</xdr:rowOff>
    </xdr:to>
    <xdr:sp macro="" textlink="">
      <xdr:nvSpPr>
        <xdr:cNvPr id="59582" name="Text Box 190"/>
        <xdr:cNvSpPr txBox="1">
          <a:spLocks noChangeArrowheads="1"/>
        </xdr:cNvSpPr>
      </xdr:nvSpPr>
      <xdr:spPr bwMode="auto">
        <a:xfrm>
          <a:off x="2324100" y="5295900"/>
          <a:ext cx="571500" cy="190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DSDX302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285750</xdr:colOff>
      <xdr:row>26</xdr:row>
      <xdr:rowOff>47625</xdr:rowOff>
    </xdr:from>
    <xdr:to>
      <xdr:col>3</xdr:col>
      <xdr:colOff>390525</xdr:colOff>
      <xdr:row>27</xdr:row>
      <xdr:rowOff>95250</xdr:rowOff>
    </xdr:to>
    <xdr:sp macro="" textlink="">
      <xdr:nvSpPr>
        <xdr:cNvPr id="342372" name="AutoShape 191"/>
        <xdr:cNvSpPr>
          <a:spLocks noChangeArrowheads="1"/>
        </xdr:cNvSpPr>
      </xdr:nvSpPr>
      <xdr:spPr bwMode="auto">
        <a:xfrm flipH="1">
          <a:off x="2571750" y="4429125"/>
          <a:ext cx="104775" cy="2095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600075</xdr:colOff>
      <xdr:row>21</xdr:row>
      <xdr:rowOff>95250</xdr:rowOff>
    </xdr:from>
    <xdr:to>
      <xdr:col>4</xdr:col>
      <xdr:colOff>66675</xdr:colOff>
      <xdr:row>25</xdr:row>
      <xdr:rowOff>66675</xdr:rowOff>
    </xdr:to>
    <xdr:sp macro="" textlink="">
      <xdr:nvSpPr>
        <xdr:cNvPr id="59584" name="AutoShape 192"/>
        <xdr:cNvSpPr>
          <a:spLocks noChangeArrowheads="1"/>
        </xdr:cNvSpPr>
      </xdr:nvSpPr>
      <xdr:spPr bwMode="auto">
        <a:xfrm rot="5400000">
          <a:off x="2309812" y="3481388"/>
          <a:ext cx="619125" cy="9906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Cycle Buffer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352425</xdr:colOff>
      <xdr:row>28</xdr:row>
      <xdr:rowOff>104775</xdr:rowOff>
    </xdr:from>
    <xdr:to>
      <xdr:col>5</xdr:col>
      <xdr:colOff>123825</xdr:colOff>
      <xdr:row>29</xdr:row>
      <xdr:rowOff>47625</xdr:rowOff>
    </xdr:to>
    <xdr:sp macro="" textlink="">
      <xdr:nvSpPr>
        <xdr:cNvPr id="59585" name="Text Box 193"/>
        <xdr:cNvSpPr txBox="1">
          <a:spLocks noChangeArrowheads="1"/>
        </xdr:cNvSpPr>
      </xdr:nvSpPr>
      <xdr:spPr bwMode="auto">
        <a:xfrm>
          <a:off x="3400425" y="4810125"/>
          <a:ext cx="5334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PCV289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695325</xdr:colOff>
      <xdr:row>28</xdr:row>
      <xdr:rowOff>95250</xdr:rowOff>
    </xdr:from>
    <xdr:to>
      <xdr:col>2</xdr:col>
      <xdr:colOff>304800</xdr:colOff>
      <xdr:row>29</xdr:row>
      <xdr:rowOff>28575</xdr:rowOff>
    </xdr:to>
    <xdr:sp macro="" textlink="">
      <xdr:nvSpPr>
        <xdr:cNvPr id="59586" name="Text Box 194"/>
        <xdr:cNvSpPr txBox="1">
          <a:spLocks noChangeArrowheads="1"/>
        </xdr:cNvSpPr>
      </xdr:nvSpPr>
      <xdr:spPr bwMode="auto">
        <a:xfrm>
          <a:off x="1457325" y="4800600"/>
          <a:ext cx="371475" cy="95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PCV280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133350</xdr:colOff>
      <xdr:row>36</xdr:row>
      <xdr:rowOff>9525</xdr:rowOff>
    </xdr:from>
    <xdr:to>
      <xdr:col>3</xdr:col>
      <xdr:colOff>666750</xdr:colOff>
      <xdr:row>36</xdr:row>
      <xdr:rowOff>114300</xdr:rowOff>
    </xdr:to>
    <xdr:sp macro="" textlink="">
      <xdr:nvSpPr>
        <xdr:cNvPr id="59587" name="Text Box 195"/>
        <xdr:cNvSpPr txBox="1">
          <a:spLocks noChangeArrowheads="1"/>
        </xdr:cNvSpPr>
      </xdr:nvSpPr>
      <xdr:spPr bwMode="auto">
        <a:xfrm>
          <a:off x="2419350" y="6010275"/>
          <a:ext cx="533400" cy="1047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PCV275</a:t>
          </a:r>
        </a:p>
        <a:p>
          <a:pPr algn="ctr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704850</xdr:colOff>
      <xdr:row>32</xdr:row>
      <xdr:rowOff>9525</xdr:rowOff>
    </xdr:from>
    <xdr:to>
      <xdr:col>4</xdr:col>
      <xdr:colOff>285750</xdr:colOff>
      <xdr:row>33</xdr:row>
      <xdr:rowOff>104775</xdr:rowOff>
    </xdr:to>
    <xdr:grpSp>
      <xdr:nvGrpSpPr>
        <xdr:cNvPr id="342377" name="Group 196"/>
        <xdr:cNvGrpSpPr>
          <a:grpSpLocks/>
        </xdr:cNvGrpSpPr>
      </xdr:nvGrpSpPr>
      <xdr:grpSpPr bwMode="auto">
        <a:xfrm>
          <a:off x="2990850" y="5362575"/>
          <a:ext cx="342900" cy="257175"/>
          <a:chOff x="2197" y="2444"/>
          <a:chExt cx="216" cy="160"/>
        </a:xfrm>
      </xdr:grpSpPr>
      <xdr:sp macro="" textlink="">
        <xdr:nvSpPr>
          <xdr:cNvPr id="342403" name="Line 197"/>
          <xdr:cNvSpPr>
            <a:spLocks noChangeShapeType="1"/>
          </xdr:cNvSpPr>
        </xdr:nvSpPr>
        <xdr:spPr bwMode="auto">
          <a:xfrm>
            <a:off x="2365" y="2523"/>
            <a:ext cx="48" cy="0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/>
          </a:ln>
        </xdr:spPr>
      </xdr:sp>
      <xdr:grpSp>
        <xdr:nvGrpSpPr>
          <xdr:cNvPr id="342404" name="Group 198"/>
          <xdr:cNvGrpSpPr>
            <a:grpSpLocks/>
          </xdr:cNvGrpSpPr>
        </xdr:nvGrpSpPr>
        <xdr:grpSpPr bwMode="auto">
          <a:xfrm>
            <a:off x="2197" y="2444"/>
            <a:ext cx="172" cy="160"/>
            <a:chOff x="2359" y="2499"/>
            <a:chExt cx="172" cy="160"/>
          </a:xfrm>
        </xdr:grpSpPr>
        <xdr:sp macro="" textlink="">
          <xdr:nvSpPr>
            <xdr:cNvPr id="342405" name="Oval 199"/>
            <xdr:cNvSpPr>
              <a:spLocks noChangeArrowheads="1"/>
            </xdr:cNvSpPr>
          </xdr:nvSpPr>
          <xdr:spPr bwMode="auto">
            <a:xfrm>
              <a:off x="2359" y="2499"/>
              <a:ext cx="168" cy="160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0000"/>
              </a:solidFill>
              <a:round/>
              <a:headEnd/>
              <a:tailEnd/>
            </a:ln>
          </xdr:spPr>
        </xdr:sp>
        <xdr:sp macro="" textlink="">
          <xdr:nvSpPr>
            <xdr:cNvPr id="59592" name="Text Box 200"/>
            <xdr:cNvSpPr txBox="1">
              <a:spLocks noChangeArrowheads="1"/>
            </xdr:cNvSpPr>
          </xdr:nvSpPr>
          <xdr:spPr bwMode="auto">
            <a:xfrm>
              <a:off x="2359" y="2505"/>
              <a:ext cx="174" cy="1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fr-FR" sz="600" b="0" i="0" u="none" strike="noStrike" baseline="0">
                  <a:solidFill>
                    <a:srgbClr val="FF6600"/>
                  </a:solidFill>
                  <a:latin typeface="Arial"/>
                  <a:cs typeface="Arial"/>
                </a:rPr>
                <a:t>PT</a:t>
              </a:r>
            </a:p>
            <a:p>
              <a:pPr algn="ctr" rtl="0">
                <a:defRPr sz="1000"/>
              </a:pPr>
              <a:r>
                <a:rPr lang="fr-FR" sz="600" b="0" i="0" u="none" strike="noStrike" baseline="0">
                  <a:solidFill>
                    <a:srgbClr val="FF6600"/>
                  </a:solidFill>
                  <a:latin typeface="Arial"/>
                  <a:cs typeface="Arial"/>
                </a:rPr>
                <a:t>290</a:t>
              </a:r>
            </a:p>
            <a:p>
              <a:pPr algn="ctr" rtl="0">
                <a:defRPr sz="1000"/>
              </a:pPr>
              <a:endPara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twoCellAnchor>
    <xdr:from>
      <xdr:col>2</xdr:col>
      <xdr:colOff>390525</xdr:colOff>
      <xdr:row>33</xdr:row>
      <xdr:rowOff>38100</xdr:rowOff>
    </xdr:from>
    <xdr:to>
      <xdr:col>2</xdr:col>
      <xdr:colOff>466725</xdr:colOff>
      <xdr:row>33</xdr:row>
      <xdr:rowOff>38100</xdr:rowOff>
    </xdr:to>
    <xdr:sp macro="" textlink="">
      <xdr:nvSpPr>
        <xdr:cNvPr id="342378" name="Line 201"/>
        <xdr:cNvSpPr>
          <a:spLocks noChangeShapeType="1"/>
        </xdr:cNvSpPr>
      </xdr:nvSpPr>
      <xdr:spPr bwMode="auto">
        <a:xfrm>
          <a:off x="1914525" y="5553075"/>
          <a:ext cx="7620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466725</xdr:colOff>
      <xdr:row>32</xdr:row>
      <xdr:rowOff>76200</xdr:rowOff>
    </xdr:from>
    <xdr:to>
      <xdr:col>2</xdr:col>
      <xdr:colOff>742950</xdr:colOff>
      <xdr:row>34</xdr:row>
      <xdr:rowOff>9525</xdr:rowOff>
    </xdr:to>
    <xdr:grpSp>
      <xdr:nvGrpSpPr>
        <xdr:cNvPr id="342379" name="Group 202"/>
        <xdr:cNvGrpSpPr>
          <a:grpSpLocks/>
        </xdr:cNvGrpSpPr>
      </xdr:nvGrpSpPr>
      <xdr:grpSpPr bwMode="auto">
        <a:xfrm>
          <a:off x="1990725" y="5429250"/>
          <a:ext cx="276225" cy="257175"/>
          <a:chOff x="2359" y="2499"/>
          <a:chExt cx="172" cy="160"/>
        </a:xfrm>
      </xdr:grpSpPr>
      <xdr:sp macro="" textlink="">
        <xdr:nvSpPr>
          <xdr:cNvPr id="342401" name="Oval 203"/>
          <xdr:cNvSpPr>
            <a:spLocks noChangeArrowheads="1"/>
          </xdr:cNvSpPr>
        </xdr:nvSpPr>
        <xdr:spPr bwMode="auto">
          <a:xfrm>
            <a:off x="2359" y="2499"/>
            <a:ext cx="168" cy="160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59596" name="Text Box 204"/>
          <xdr:cNvSpPr txBox="1">
            <a:spLocks noChangeArrowheads="1"/>
          </xdr:cNvSpPr>
        </xdr:nvSpPr>
        <xdr:spPr bwMode="auto">
          <a:xfrm>
            <a:off x="2359" y="2505"/>
            <a:ext cx="172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PT</a:t>
            </a:r>
          </a:p>
          <a:p>
            <a:pPr algn="ctr" rtl="0">
              <a:defRPr sz="1000"/>
            </a:pPr>
            <a:r>
              <a:rPr lang="fr-FR" sz="60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275</a:t>
            </a:r>
          </a:p>
          <a:p>
            <a:pPr algn="ctr" rtl="0">
              <a:defRPr sz="1000"/>
            </a:pPr>
            <a:endParaRPr lang="fr-FR" sz="600" b="0" i="0" u="none" strike="noStrike" baseline="0">
              <a:solidFill>
                <a:srgbClr val="FF66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</xdr:col>
      <xdr:colOff>304800</xdr:colOff>
      <xdr:row>34</xdr:row>
      <xdr:rowOff>95250</xdr:rowOff>
    </xdr:from>
    <xdr:to>
      <xdr:col>3</xdr:col>
      <xdr:colOff>514350</xdr:colOff>
      <xdr:row>35</xdr:row>
      <xdr:rowOff>142875</xdr:rowOff>
    </xdr:to>
    <xdr:grpSp>
      <xdr:nvGrpSpPr>
        <xdr:cNvPr id="342380" name="Group 205"/>
        <xdr:cNvGrpSpPr>
          <a:grpSpLocks/>
        </xdr:cNvGrpSpPr>
      </xdr:nvGrpSpPr>
      <xdr:grpSpPr bwMode="auto">
        <a:xfrm>
          <a:off x="2590800" y="5772150"/>
          <a:ext cx="209550" cy="209550"/>
          <a:chOff x="749" y="2953"/>
          <a:chExt cx="130" cy="130"/>
        </a:xfrm>
      </xdr:grpSpPr>
      <xdr:sp macro="" textlink="">
        <xdr:nvSpPr>
          <xdr:cNvPr id="342397" name="Line 206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398" name="AutoShape 207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399" name="AutoShape 208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400" name="Rectangle 209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371475</xdr:colOff>
      <xdr:row>30</xdr:row>
      <xdr:rowOff>133350</xdr:rowOff>
    </xdr:from>
    <xdr:to>
      <xdr:col>3</xdr:col>
      <xdr:colOff>314325</xdr:colOff>
      <xdr:row>35</xdr:row>
      <xdr:rowOff>85725</xdr:rowOff>
    </xdr:to>
    <xdr:cxnSp macro="">
      <xdr:nvCxnSpPr>
        <xdr:cNvPr id="342381" name="AutoShape 210"/>
        <xdr:cNvCxnSpPr>
          <a:cxnSpLocks noChangeShapeType="1"/>
          <a:stCxn id="342394" idx="2"/>
          <a:endCxn id="342398" idx="2"/>
        </xdr:cNvCxnSpPr>
      </xdr:nvCxnSpPr>
      <xdr:spPr bwMode="auto">
        <a:xfrm rot="16200000" flipH="1">
          <a:off x="1866900" y="5191125"/>
          <a:ext cx="762000" cy="70485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3</xdr:col>
      <xdr:colOff>523875</xdr:colOff>
      <xdr:row>30</xdr:row>
      <xdr:rowOff>142875</xdr:rowOff>
    </xdr:from>
    <xdr:to>
      <xdr:col>4</xdr:col>
      <xdr:colOff>295275</xdr:colOff>
      <xdr:row>35</xdr:row>
      <xdr:rowOff>85725</xdr:rowOff>
    </xdr:to>
    <xdr:cxnSp macro="">
      <xdr:nvCxnSpPr>
        <xdr:cNvPr id="342382" name="AutoShape 211"/>
        <xdr:cNvCxnSpPr>
          <a:cxnSpLocks noChangeShapeType="1"/>
          <a:stCxn id="342398" idx="0"/>
          <a:endCxn id="342390" idx="0"/>
        </xdr:cNvCxnSpPr>
      </xdr:nvCxnSpPr>
      <xdr:spPr bwMode="auto">
        <a:xfrm flipV="1">
          <a:off x="2809875" y="5172075"/>
          <a:ext cx="533400" cy="752475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2</xdr:col>
      <xdr:colOff>219075</xdr:colOff>
      <xdr:row>29</xdr:row>
      <xdr:rowOff>95250</xdr:rowOff>
    </xdr:from>
    <xdr:to>
      <xdr:col>2</xdr:col>
      <xdr:colOff>428625</xdr:colOff>
      <xdr:row>30</xdr:row>
      <xdr:rowOff>133350</xdr:rowOff>
    </xdr:to>
    <xdr:grpSp>
      <xdr:nvGrpSpPr>
        <xdr:cNvPr id="342383" name="Group 212"/>
        <xdr:cNvGrpSpPr>
          <a:grpSpLocks/>
        </xdr:cNvGrpSpPr>
      </xdr:nvGrpSpPr>
      <xdr:grpSpPr bwMode="auto">
        <a:xfrm rot="-5400000">
          <a:off x="1747837" y="4957763"/>
          <a:ext cx="200025" cy="209550"/>
          <a:chOff x="749" y="2953"/>
          <a:chExt cx="130" cy="130"/>
        </a:xfrm>
      </xdr:grpSpPr>
      <xdr:sp macro="" textlink="">
        <xdr:nvSpPr>
          <xdr:cNvPr id="342393" name="Line 213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394" name="AutoShape 214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395" name="AutoShape 215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396" name="Rectangle 216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371475</xdr:colOff>
      <xdr:row>27</xdr:row>
      <xdr:rowOff>95250</xdr:rowOff>
    </xdr:from>
    <xdr:to>
      <xdr:col>3</xdr:col>
      <xdr:colOff>342900</xdr:colOff>
      <xdr:row>29</xdr:row>
      <xdr:rowOff>95250</xdr:rowOff>
    </xdr:to>
    <xdr:cxnSp macro="">
      <xdr:nvCxnSpPr>
        <xdr:cNvPr id="342384" name="AutoShape 217"/>
        <xdr:cNvCxnSpPr>
          <a:cxnSpLocks noChangeShapeType="1"/>
          <a:stCxn id="342394" idx="0"/>
          <a:endCxn id="342372" idx="2"/>
        </xdr:cNvCxnSpPr>
      </xdr:nvCxnSpPr>
      <xdr:spPr bwMode="auto">
        <a:xfrm rot="-5400000">
          <a:off x="2100263" y="4433887"/>
          <a:ext cx="323850" cy="733425"/>
        </a:xfrm>
        <a:prstGeom prst="bentConnector3">
          <a:avLst>
            <a:gd name="adj1" fmla="val 50000"/>
          </a:avLst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4</xdr:col>
      <xdr:colOff>247650</xdr:colOff>
      <xdr:row>29</xdr:row>
      <xdr:rowOff>95250</xdr:rowOff>
    </xdr:from>
    <xdr:to>
      <xdr:col>4</xdr:col>
      <xdr:colOff>457200</xdr:colOff>
      <xdr:row>30</xdr:row>
      <xdr:rowOff>142875</xdr:rowOff>
    </xdr:to>
    <xdr:grpSp>
      <xdr:nvGrpSpPr>
        <xdr:cNvPr id="342385" name="Group 218"/>
        <xdr:cNvGrpSpPr>
          <a:grpSpLocks/>
        </xdr:cNvGrpSpPr>
      </xdr:nvGrpSpPr>
      <xdr:grpSpPr bwMode="auto">
        <a:xfrm rot="5400000">
          <a:off x="3295650" y="4962525"/>
          <a:ext cx="209550" cy="209550"/>
          <a:chOff x="749" y="2953"/>
          <a:chExt cx="130" cy="130"/>
        </a:xfrm>
      </xdr:grpSpPr>
      <xdr:sp macro="" textlink="">
        <xdr:nvSpPr>
          <xdr:cNvPr id="342389" name="Line 219"/>
          <xdr:cNvSpPr>
            <a:spLocks noChangeShapeType="1"/>
          </xdr:cNvSpPr>
        </xdr:nvSpPr>
        <xdr:spPr bwMode="auto">
          <a:xfrm rot="10800000" flipH="1" flipV="1">
            <a:off x="814" y="3001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2390" name="AutoShape 220"/>
          <xdr:cNvSpPr>
            <a:spLocks noChangeArrowheads="1"/>
          </xdr:cNvSpPr>
        </xdr:nvSpPr>
        <xdr:spPr bwMode="auto">
          <a:xfrm rot="-5400000" flipH="1" flipV="1">
            <a:off x="781" y="2986"/>
            <a:ext cx="65" cy="13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391" name="AutoShape 221"/>
          <xdr:cNvSpPr>
            <a:spLocks noChangeArrowheads="1"/>
          </xdr:cNvSpPr>
        </xdr:nvSpPr>
        <xdr:spPr bwMode="auto">
          <a:xfrm>
            <a:off x="767" y="2953"/>
            <a:ext cx="96" cy="9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0 w 21600"/>
              <a:gd name="T13" fmla="*/ 0 h 21600"/>
              <a:gd name="T14" fmla="*/ 21600 w 21600"/>
              <a:gd name="T15" fmla="*/ 773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10800"/>
                </a:moveTo>
                <a:cubicBezTo>
                  <a:pt x="5400" y="7817"/>
                  <a:pt x="7817" y="5400"/>
                  <a:pt x="10800" y="5400"/>
                </a:cubicBezTo>
                <a:cubicBezTo>
                  <a:pt x="13782" y="5399"/>
                  <a:pt x="16199" y="7817"/>
                  <a:pt x="16200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080808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392" name="Rectangle 222"/>
          <xdr:cNvSpPr>
            <a:spLocks noChangeArrowheads="1"/>
          </xdr:cNvSpPr>
        </xdr:nvSpPr>
        <xdr:spPr bwMode="auto">
          <a:xfrm>
            <a:off x="786" y="2967"/>
            <a:ext cx="54" cy="33"/>
          </a:xfrm>
          <a:prstGeom prst="rect">
            <a:avLst/>
          </a:prstGeom>
          <a:solidFill>
            <a:srgbClr val="080808"/>
          </a:solidFill>
          <a:ln w="12700">
            <a:solidFill>
              <a:srgbClr val="080808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27</xdr:row>
      <xdr:rowOff>95250</xdr:rowOff>
    </xdr:from>
    <xdr:to>
      <xdr:col>4</xdr:col>
      <xdr:colOff>295275</xdr:colOff>
      <xdr:row>29</xdr:row>
      <xdr:rowOff>95250</xdr:rowOff>
    </xdr:to>
    <xdr:cxnSp macro="">
      <xdr:nvCxnSpPr>
        <xdr:cNvPr id="342386" name="AutoShape 223"/>
        <xdr:cNvCxnSpPr>
          <a:cxnSpLocks noChangeShapeType="1"/>
          <a:stCxn id="342390" idx="2"/>
          <a:endCxn id="342372" idx="2"/>
        </xdr:cNvCxnSpPr>
      </xdr:nvCxnSpPr>
      <xdr:spPr bwMode="auto">
        <a:xfrm rot="5400000" flipH="1">
          <a:off x="2824163" y="4443412"/>
          <a:ext cx="323850" cy="714375"/>
        </a:xfrm>
        <a:prstGeom prst="bentConnector3">
          <a:avLst>
            <a:gd name="adj1" fmla="val 50000"/>
          </a:avLst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2</xdr:col>
      <xdr:colOff>371475</xdr:colOff>
      <xdr:row>30</xdr:row>
      <xdr:rowOff>133350</xdr:rowOff>
    </xdr:from>
    <xdr:to>
      <xdr:col>3</xdr:col>
      <xdr:colOff>123825</xdr:colOff>
      <xdr:row>38</xdr:row>
      <xdr:rowOff>123825</xdr:rowOff>
    </xdr:to>
    <xdr:cxnSp macro="">
      <xdr:nvCxnSpPr>
        <xdr:cNvPr id="342387" name="AutoShape 224"/>
        <xdr:cNvCxnSpPr>
          <a:cxnSpLocks noChangeShapeType="1"/>
          <a:stCxn id="342394" idx="2"/>
          <a:endCxn id="342367" idx="3"/>
        </xdr:cNvCxnSpPr>
      </xdr:nvCxnSpPr>
      <xdr:spPr bwMode="auto">
        <a:xfrm rot="16200000" flipH="1">
          <a:off x="1509712" y="5548313"/>
          <a:ext cx="1285875" cy="51435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  <xdr:twoCellAnchor>
    <xdr:from>
      <xdr:col>3</xdr:col>
      <xdr:colOff>695325</xdr:colOff>
      <xdr:row>30</xdr:row>
      <xdr:rowOff>142875</xdr:rowOff>
    </xdr:from>
    <xdr:to>
      <xdr:col>4</xdr:col>
      <xdr:colOff>295275</xdr:colOff>
      <xdr:row>38</xdr:row>
      <xdr:rowOff>123825</xdr:rowOff>
    </xdr:to>
    <xdr:cxnSp macro="">
      <xdr:nvCxnSpPr>
        <xdr:cNvPr id="342388" name="AutoShape 225"/>
        <xdr:cNvCxnSpPr>
          <a:cxnSpLocks noChangeShapeType="1"/>
          <a:stCxn id="342367" idx="1"/>
          <a:endCxn id="342390" idx="0"/>
        </xdr:cNvCxnSpPr>
      </xdr:nvCxnSpPr>
      <xdr:spPr bwMode="auto">
        <a:xfrm flipV="1">
          <a:off x="2981325" y="5172075"/>
          <a:ext cx="361950" cy="127635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/>
        </a:ln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3</xdr:col>
      <xdr:colOff>352425</xdr:colOff>
      <xdr:row>4</xdr:row>
      <xdr:rowOff>0</xdr:rowOff>
    </xdr:to>
    <xdr:pic>
      <xdr:nvPicPr>
        <xdr:cNvPr id="67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09550"/>
          <a:ext cx="1990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7</xdr:col>
      <xdr:colOff>171450</xdr:colOff>
      <xdr:row>0</xdr:row>
      <xdr:rowOff>0</xdr:rowOff>
    </xdr:to>
    <xdr:sp macro="" textlink="">
      <xdr:nvSpPr>
        <xdr:cNvPr id="73602" name="Rectangle 1"/>
        <xdr:cNvSpPr>
          <a:spLocks noChangeArrowheads="1"/>
        </xdr:cNvSpPr>
      </xdr:nvSpPr>
      <xdr:spPr bwMode="auto">
        <a:xfrm>
          <a:off x="5000625" y="0"/>
          <a:ext cx="47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895350</xdr:colOff>
      <xdr:row>0</xdr:row>
      <xdr:rowOff>0</xdr:rowOff>
    </xdr:from>
    <xdr:to>
      <xdr:col>7</xdr:col>
      <xdr:colOff>447675</xdr:colOff>
      <xdr:row>0</xdr:row>
      <xdr:rowOff>0</xdr:rowOff>
    </xdr:to>
    <xdr:sp macro="" textlink="">
      <xdr:nvSpPr>
        <xdr:cNvPr id="73603" name="Rectangle 2"/>
        <xdr:cNvSpPr>
          <a:spLocks noChangeArrowheads="1"/>
        </xdr:cNvSpPr>
      </xdr:nvSpPr>
      <xdr:spPr bwMode="auto">
        <a:xfrm>
          <a:off x="4876800" y="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866775</xdr:colOff>
      <xdr:row>0</xdr:row>
      <xdr:rowOff>0</xdr:rowOff>
    </xdr:from>
    <xdr:to>
      <xdr:col>9</xdr:col>
      <xdr:colOff>742950</xdr:colOff>
      <xdr:row>0</xdr:row>
      <xdr:rowOff>0</xdr:rowOff>
    </xdr:to>
    <xdr:sp macro="" textlink="">
      <xdr:nvSpPr>
        <xdr:cNvPr id="73604" name="Rectangle 3"/>
        <xdr:cNvSpPr>
          <a:spLocks noChangeArrowheads="1"/>
        </xdr:cNvSpPr>
      </xdr:nvSpPr>
      <xdr:spPr bwMode="auto">
        <a:xfrm>
          <a:off x="4876800" y="0"/>
          <a:ext cx="16287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104775</xdr:colOff>
      <xdr:row>0</xdr:row>
      <xdr:rowOff>0</xdr:rowOff>
    </xdr:from>
    <xdr:to>
      <xdr:col>4</xdr:col>
      <xdr:colOff>209550</xdr:colOff>
      <xdr:row>0</xdr:row>
      <xdr:rowOff>0</xdr:rowOff>
    </xdr:to>
    <xdr:sp macro="" textlink="">
      <xdr:nvSpPr>
        <xdr:cNvPr id="72708" name="Rectangle 4"/>
        <xdr:cNvSpPr>
          <a:spLocks noChangeArrowheads="1"/>
        </xdr:cNvSpPr>
      </xdr:nvSpPr>
      <xdr:spPr bwMode="auto">
        <a:xfrm>
          <a:off x="2371725" y="0"/>
          <a:ext cx="866775" cy="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E01</a:t>
          </a:r>
        </a:p>
      </xdr:txBody>
    </xdr:sp>
    <xdr:clientData/>
  </xdr:twoCellAnchor>
  <xdr:twoCellAnchor>
    <xdr:from>
      <xdr:col>3</xdr:col>
      <xdr:colOff>542925</xdr:colOff>
      <xdr:row>0</xdr:row>
      <xdr:rowOff>0</xdr:rowOff>
    </xdr:from>
    <xdr:to>
      <xdr:col>7</xdr:col>
      <xdr:colOff>161925</xdr:colOff>
      <xdr:row>0</xdr:row>
      <xdr:rowOff>0</xdr:rowOff>
    </xdr:to>
    <xdr:cxnSp macro="">
      <xdr:nvCxnSpPr>
        <xdr:cNvPr id="73606" name="AutoShape 5"/>
        <xdr:cNvCxnSpPr>
          <a:cxnSpLocks noChangeShapeType="1"/>
          <a:stCxn id="73603" idx="2"/>
          <a:endCxn id="72708" idx="2"/>
        </xdr:cNvCxnSpPr>
      </xdr:nvCxnSpPr>
      <xdr:spPr bwMode="auto">
        <a:xfrm rot="16200000" flipV="1">
          <a:off x="3924300" y="-1114425"/>
          <a:ext cx="0" cy="2228850"/>
        </a:xfrm>
        <a:prstGeom prst="bentConnector3">
          <a:avLst>
            <a:gd name="adj1" fmla="val -48935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3</xdr:col>
      <xdr:colOff>533400</xdr:colOff>
      <xdr:row>0</xdr:row>
      <xdr:rowOff>0</xdr:rowOff>
    </xdr:from>
    <xdr:to>
      <xdr:col>7</xdr:col>
      <xdr:colOff>123825</xdr:colOff>
      <xdr:row>0</xdr:row>
      <xdr:rowOff>0</xdr:rowOff>
    </xdr:to>
    <xdr:cxnSp macro="">
      <xdr:nvCxnSpPr>
        <xdr:cNvPr id="73607" name="AutoShape 6"/>
        <xdr:cNvCxnSpPr>
          <a:cxnSpLocks noChangeShapeType="1"/>
          <a:stCxn id="72721" idx="0"/>
          <a:endCxn id="73602" idx="1"/>
        </xdr:cNvCxnSpPr>
      </xdr:nvCxnSpPr>
      <xdr:spPr bwMode="auto">
        <a:xfrm rot="-5400000">
          <a:off x="3900488" y="-1100138"/>
          <a:ext cx="0" cy="2200275"/>
        </a:xfrm>
        <a:prstGeom prst="bentConnector2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6</xdr:col>
      <xdr:colOff>866775</xdr:colOff>
      <xdr:row>0</xdr:row>
      <xdr:rowOff>0</xdr:rowOff>
    </xdr:from>
    <xdr:to>
      <xdr:col>9</xdr:col>
      <xdr:colOff>742950</xdr:colOff>
      <xdr:row>0</xdr:row>
      <xdr:rowOff>0</xdr:rowOff>
    </xdr:to>
    <xdr:sp macro="" textlink="">
      <xdr:nvSpPr>
        <xdr:cNvPr id="73608" name="Rectangle 7"/>
        <xdr:cNvSpPr>
          <a:spLocks noChangeArrowheads="1"/>
        </xdr:cNvSpPr>
      </xdr:nvSpPr>
      <xdr:spPr bwMode="auto">
        <a:xfrm>
          <a:off x="4876800" y="0"/>
          <a:ext cx="1628775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876300</xdr:colOff>
      <xdr:row>0</xdr:row>
      <xdr:rowOff>0</xdr:rowOff>
    </xdr:from>
    <xdr:to>
      <xdr:col>9</xdr:col>
      <xdr:colOff>723900</xdr:colOff>
      <xdr:row>0</xdr:row>
      <xdr:rowOff>0</xdr:rowOff>
    </xdr:to>
    <xdr:sp macro="" textlink="">
      <xdr:nvSpPr>
        <xdr:cNvPr id="73609" name="Rectangle 8"/>
        <xdr:cNvSpPr>
          <a:spLocks noChangeArrowheads="1"/>
        </xdr:cNvSpPr>
      </xdr:nvSpPr>
      <xdr:spPr bwMode="auto">
        <a:xfrm>
          <a:off x="4876800" y="0"/>
          <a:ext cx="16287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219075</xdr:colOff>
      <xdr:row>0</xdr:row>
      <xdr:rowOff>0</xdr:rowOff>
    </xdr:from>
    <xdr:to>
      <xdr:col>8</xdr:col>
      <xdr:colOff>219075</xdr:colOff>
      <xdr:row>0</xdr:row>
      <xdr:rowOff>0</xdr:rowOff>
    </xdr:to>
    <xdr:cxnSp macro="">
      <xdr:nvCxnSpPr>
        <xdr:cNvPr id="73610" name="AutoShape 9"/>
        <xdr:cNvCxnSpPr>
          <a:cxnSpLocks noChangeShapeType="1"/>
          <a:stCxn id="73637" idx="0"/>
          <a:endCxn id="73609" idx="0"/>
        </xdr:cNvCxnSpPr>
      </xdr:nvCxnSpPr>
      <xdr:spPr bwMode="auto">
        <a:xfrm>
          <a:off x="563880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542925</xdr:colOff>
      <xdr:row>0</xdr:row>
      <xdr:rowOff>0</xdr:rowOff>
    </xdr:from>
    <xdr:to>
      <xdr:col>3</xdr:col>
      <xdr:colOff>542925</xdr:colOff>
      <xdr:row>0</xdr:row>
      <xdr:rowOff>0</xdr:rowOff>
    </xdr:to>
    <xdr:cxnSp macro="">
      <xdr:nvCxnSpPr>
        <xdr:cNvPr id="73611" name="AutoShape 10"/>
        <xdr:cNvCxnSpPr>
          <a:cxnSpLocks noChangeShapeType="1"/>
          <a:stCxn id="72708" idx="2"/>
          <a:endCxn id="72708" idx="2"/>
        </xdr:cNvCxnSpPr>
      </xdr:nvCxnSpPr>
      <xdr:spPr bwMode="auto">
        <a:xfrm>
          <a:off x="280987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771525</xdr:colOff>
      <xdr:row>0</xdr:row>
      <xdr:rowOff>0</xdr:rowOff>
    </xdr:from>
    <xdr:to>
      <xdr:col>6</xdr:col>
      <xdr:colOff>542925</xdr:colOff>
      <xdr:row>0</xdr:row>
      <xdr:rowOff>0</xdr:rowOff>
    </xdr:to>
    <xdr:cxnSp macro="">
      <xdr:nvCxnSpPr>
        <xdr:cNvPr id="73612" name="AutoShape 11"/>
        <xdr:cNvCxnSpPr>
          <a:cxnSpLocks noChangeShapeType="1"/>
        </xdr:cNvCxnSpPr>
      </xdr:nvCxnSpPr>
      <xdr:spPr bwMode="auto">
        <a:xfrm>
          <a:off x="487680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6</xdr:col>
      <xdr:colOff>447675</xdr:colOff>
      <xdr:row>0</xdr:row>
      <xdr:rowOff>0</xdr:rowOff>
    </xdr:from>
    <xdr:to>
      <xdr:col>6</xdr:col>
      <xdr:colOff>542925</xdr:colOff>
      <xdr:row>0</xdr:row>
      <xdr:rowOff>0</xdr:rowOff>
    </xdr:to>
    <xdr:sp macro="" textlink="">
      <xdr:nvSpPr>
        <xdr:cNvPr id="72716" name="Text Box 12"/>
        <xdr:cNvSpPr txBox="1">
          <a:spLocks noChangeArrowheads="1"/>
        </xdr:cNvSpPr>
      </xdr:nvSpPr>
      <xdr:spPr bwMode="auto">
        <a:xfrm>
          <a:off x="47815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ρ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gh</a:t>
          </a:r>
        </a:p>
      </xdr:txBody>
    </xdr:sp>
    <xdr:clientData/>
  </xdr:twoCellAnchor>
  <xdr:twoCellAnchor>
    <xdr:from>
      <xdr:col>9</xdr:col>
      <xdr:colOff>438150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72717" name="Text Box 13"/>
        <xdr:cNvSpPr txBox="1">
          <a:spLocks noChangeArrowheads="1"/>
        </xdr:cNvSpPr>
      </xdr:nvSpPr>
      <xdr:spPr bwMode="auto">
        <a:xfrm>
          <a:off x="6400800" y="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GOX à 300K</a:t>
          </a:r>
        </a:p>
      </xdr:txBody>
    </xdr:sp>
    <xdr:clientData/>
  </xdr:twoCellAnchor>
  <xdr:twoCellAnchor>
    <xdr:from>
      <xdr:col>3</xdr:col>
      <xdr:colOff>590550</xdr:colOff>
      <xdr:row>0</xdr:row>
      <xdr:rowOff>0</xdr:rowOff>
    </xdr:from>
    <xdr:to>
      <xdr:col>4</xdr:col>
      <xdr:colOff>571500</xdr:colOff>
      <xdr:row>0</xdr:row>
      <xdr:rowOff>0</xdr:rowOff>
    </xdr:to>
    <xdr:sp macro="" textlink="">
      <xdr:nvSpPr>
        <xdr:cNvPr id="72718" name="Text Box 14"/>
        <xdr:cNvSpPr txBox="1">
          <a:spLocks noChangeArrowheads="1"/>
        </xdr:cNvSpPr>
      </xdr:nvSpPr>
      <xdr:spPr bwMode="auto">
        <a:xfrm>
          <a:off x="2857500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LOX à 90K</a:t>
          </a:r>
        </a:p>
      </xdr:txBody>
    </xdr:sp>
    <xdr:clientData/>
  </xdr:twoCellAnchor>
  <xdr:twoCellAnchor>
    <xdr:from>
      <xdr:col>6</xdr:col>
      <xdr:colOff>942975</xdr:colOff>
      <xdr:row>0</xdr:row>
      <xdr:rowOff>0</xdr:rowOff>
    </xdr:from>
    <xdr:to>
      <xdr:col>8</xdr:col>
      <xdr:colOff>523875</xdr:colOff>
      <xdr:row>0</xdr:row>
      <xdr:rowOff>0</xdr:rowOff>
    </xdr:to>
    <xdr:sp macro="" textlink="">
      <xdr:nvSpPr>
        <xdr:cNvPr id="72719" name="Text Box 15"/>
        <xdr:cNvSpPr txBox="1">
          <a:spLocks noChangeArrowheads="1"/>
        </xdr:cNvSpPr>
      </xdr:nvSpPr>
      <xdr:spPr bwMode="auto">
        <a:xfrm>
          <a:off x="4876800" y="0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4,3 b abs mini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390525</xdr:colOff>
      <xdr:row>33</xdr:row>
      <xdr:rowOff>0</xdr:rowOff>
    </xdr:to>
    <xdr:sp macro="" textlink="">
      <xdr:nvSpPr>
        <xdr:cNvPr id="72720" name="Text Box 16"/>
        <xdr:cNvSpPr txBox="1">
          <a:spLocks noChangeArrowheads="1"/>
        </xdr:cNvSpPr>
      </xdr:nvSpPr>
      <xdr:spPr bwMode="auto">
        <a:xfrm>
          <a:off x="0" y="5572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P1</a:t>
          </a:r>
        </a:p>
      </xdr:txBody>
    </xdr:sp>
    <xdr:clientData/>
  </xdr:twoCellAnchor>
  <xdr:twoCellAnchor>
    <xdr:from>
      <xdr:col>3</xdr:col>
      <xdr:colOff>104775</xdr:colOff>
      <xdr:row>0</xdr:row>
      <xdr:rowOff>0</xdr:rowOff>
    </xdr:from>
    <xdr:to>
      <xdr:col>4</xdr:col>
      <xdr:colOff>200025</xdr:colOff>
      <xdr:row>0</xdr:row>
      <xdr:rowOff>0</xdr:rowOff>
    </xdr:to>
    <xdr:sp macro="" textlink="">
      <xdr:nvSpPr>
        <xdr:cNvPr id="72721" name="Rectangle 17"/>
        <xdr:cNvSpPr>
          <a:spLocks noChangeArrowheads="1"/>
        </xdr:cNvSpPr>
      </xdr:nvSpPr>
      <xdr:spPr bwMode="auto">
        <a:xfrm>
          <a:off x="2371725" y="0"/>
          <a:ext cx="857250" cy="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E02</a:t>
          </a:r>
        </a:p>
      </xdr:txBody>
    </xdr:sp>
    <xdr:clientData/>
  </xdr:twoCellAnchor>
  <xdr:twoCellAnchor>
    <xdr:from>
      <xdr:col>7</xdr:col>
      <xdr:colOff>638175</xdr:colOff>
      <xdr:row>0</xdr:row>
      <xdr:rowOff>0</xdr:rowOff>
    </xdr:from>
    <xdr:to>
      <xdr:col>8</xdr:col>
      <xdr:colOff>1009650</xdr:colOff>
      <xdr:row>0</xdr:row>
      <xdr:rowOff>0</xdr:rowOff>
    </xdr:to>
    <xdr:sp macro="" textlink="">
      <xdr:nvSpPr>
        <xdr:cNvPr id="72722" name="Text Box 18"/>
        <xdr:cNvSpPr txBox="1">
          <a:spLocks noChangeArrowheads="1"/>
        </xdr:cNvSpPr>
      </xdr:nvSpPr>
      <xdr:spPr bwMode="auto">
        <a:xfrm>
          <a:off x="5419725" y="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Pmin=300mbar</a:t>
          </a:r>
        </a:p>
      </xdr:txBody>
    </xdr:sp>
    <xdr:clientData/>
  </xdr:twoCellAnchor>
  <xdr:twoCellAnchor>
    <xdr:from>
      <xdr:col>4</xdr:col>
      <xdr:colOff>676275</xdr:colOff>
      <xdr:row>0</xdr:row>
      <xdr:rowOff>0</xdr:rowOff>
    </xdr:from>
    <xdr:to>
      <xdr:col>5</xdr:col>
      <xdr:colOff>314325</xdr:colOff>
      <xdr:row>0</xdr:row>
      <xdr:rowOff>0</xdr:rowOff>
    </xdr:to>
    <xdr:sp macro="" textlink="">
      <xdr:nvSpPr>
        <xdr:cNvPr id="72723" name="Text Box 19"/>
        <xdr:cNvSpPr txBox="1">
          <a:spLocks noChangeArrowheads="1"/>
        </xdr:cNvSpPr>
      </xdr:nvSpPr>
      <xdr:spPr bwMode="auto">
        <a:xfrm>
          <a:off x="3705225" y="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P3</a:t>
          </a:r>
        </a:p>
      </xdr:txBody>
    </xdr:sp>
    <xdr:clientData/>
  </xdr:twoCellAnchor>
  <xdr:twoCellAnchor>
    <xdr:from>
      <xdr:col>7</xdr:col>
      <xdr:colOff>1181100</xdr:colOff>
      <xdr:row>0</xdr:row>
      <xdr:rowOff>0</xdr:rowOff>
    </xdr:from>
    <xdr:to>
      <xdr:col>8</xdr:col>
      <xdr:colOff>266700</xdr:colOff>
      <xdr:row>0</xdr:row>
      <xdr:rowOff>0</xdr:rowOff>
    </xdr:to>
    <xdr:grpSp>
      <xdr:nvGrpSpPr>
        <xdr:cNvPr id="73621" name="Group 20"/>
        <xdr:cNvGrpSpPr>
          <a:grpSpLocks/>
        </xdr:cNvGrpSpPr>
      </xdr:nvGrpSpPr>
      <xdr:grpSpPr bwMode="auto">
        <a:xfrm rot="-5400000">
          <a:off x="5553075" y="-133350"/>
          <a:ext cx="0" cy="266700"/>
          <a:chOff x="4268" y="4268"/>
          <a:chExt cx="570" cy="684"/>
        </a:xfrm>
      </xdr:grpSpPr>
      <xdr:sp macro="" textlink="">
        <xdr:nvSpPr>
          <xdr:cNvPr id="73637" name="AutoShape 21"/>
          <xdr:cNvSpPr>
            <a:spLocks noChangeArrowheads="1"/>
          </xdr:cNvSpPr>
        </xdr:nvSpPr>
        <xdr:spPr bwMode="auto">
          <a:xfrm rot="-5400000">
            <a:off x="4439" y="4553"/>
            <a:ext cx="228" cy="57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3638" name="Rectangle 22"/>
          <xdr:cNvSpPr>
            <a:spLocks noChangeArrowheads="1"/>
          </xdr:cNvSpPr>
        </xdr:nvSpPr>
        <xdr:spPr bwMode="auto">
          <a:xfrm>
            <a:off x="4382" y="4268"/>
            <a:ext cx="342" cy="28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3639" name="Line 23"/>
          <xdr:cNvSpPr>
            <a:spLocks noChangeShapeType="1"/>
          </xdr:cNvSpPr>
        </xdr:nvSpPr>
        <xdr:spPr bwMode="auto">
          <a:xfrm>
            <a:off x="4553" y="4382"/>
            <a:ext cx="0" cy="4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640" name="Line 24"/>
          <xdr:cNvSpPr>
            <a:spLocks noChangeShapeType="1"/>
          </xdr:cNvSpPr>
        </xdr:nvSpPr>
        <xdr:spPr bwMode="auto">
          <a:xfrm>
            <a:off x="4382" y="4382"/>
            <a:ext cx="34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1038225</xdr:colOff>
      <xdr:row>0</xdr:row>
      <xdr:rowOff>0</xdr:rowOff>
    </xdr:from>
    <xdr:to>
      <xdr:col>8</xdr:col>
      <xdr:colOff>95250</xdr:colOff>
      <xdr:row>0</xdr:row>
      <xdr:rowOff>0</xdr:rowOff>
    </xdr:to>
    <xdr:grpSp>
      <xdr:nvGrpSpPr>
        <xdr:cNvPr id="73622" name="Group 25"/>
        <xdr:cNvGrpSpPr>
          <a:grpSpLocks/>
        </xdr:cNvGrpSpPr>
      </xdr:nvGrpSpPr>
      <xdr:grpSpPr bwMode="auto">
        <a:xfrm flipH="1">
          <a:off x="5419725" y="0"/>
          <a:ext cx="95250" cy="0"/>
          <a:chOff x="11108" y="7688"/>
          <a:chExt cx="570" cy="684"/>
        </a:xfrm>
      </xdr:grpSpPr>
      <xdr:sp macro="" textlink="">
        <xdr:nvSpPr>
          <xdr:cNvPr id="73634" name="AutoShape 26"/>
          <xdr:cNvSpPr>
            <a:spLocks noChangeArrowheads="1"/>
          </xdr:cNvSpPr>
        </xdr:nvSpPr>
        <xdr:spPr bwMode="auto">
          <a:xfrm rot="-5400000">
            <a:off x="11279" y="7973"/>
            <a:ext cx="228" cy="570"/>
          </a:xfrm>
          <a:prstGeom prst="flowChartCollat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3635" name="AutoShape 27"/>
          <xdr:cNvSpPr>
            <a:spLocks noChangeArrowheads="1"/>
          </xdr:cNvSpPr>
        </xdr:nvSpPr>
        <xdr:spPr bwMode="auto">
          <a:xfrm rot="10800000">
            <a:off x="11108" y="7859"/>
            <a:ext cx="285" cy="399"/>
          </a:xfrm>
          <a:prstGeom prst="rtTriangl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3636" name="AutoShape 28"/>
          <xdr:cNvSpPr>
            <a:spLocks noChangeArrowheads="1"/>
          </xdr:cNvSpPr>
        </xdr:nvSpPr>
        <xdr:spPr bwMode="auto">
          <a:xfrm flipH="1" flipV="1">
            <a:off x="11279" y="7688"/>
            <a:ext cx="228" cy="342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1600 w 21600"/>
              <a:gd name="T13" fmla="*/ 10800 h 21600"/>
              <a:gd name="T14" fmla="*/ 0 w 21600"/>
              <a:gd name="T15" fmla="*/ 216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10945" y="10800"/>
                </a:moveTo>
                <a:cubicBezTo>
                  <a:pt x="10945" y="10880"/>
                  <a:pt x="10880" y="10945"/>
                  <a:pt x="10800" y="10945"/>
                </a:cubicBezTo>
                <a:cubicBezTo>
                  <a:pt x="10719" y="10945"/>
                  <a:pt x="10655" y="10880"/>
                  <a:pt x="10655" y="10800"/>
                </a:cubicBezTo>
                <a:lnTo>
                  <a:pt x="0" y="10800"/>
                </a:lnTo>
                <a:cubicBezTo>
                  <a:pt x="0" y="16764"/>
                  <a:pt x="4835" y="21600"/>
                  <a:pt x="10800" y="21600"/>
                </a:cubicBezTo>
                <a:cubicBezTo>
                  <a:pt x="16764" y="21600"/>
                  <a:pt x="21600" y="16764"/>
                  <a:pt x="21600" y="1080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123825</xdr:colOff>
      <xdr:row>0</xdr:row>
      <xdr:rowOff>0</xdr:rowOff>
    </xdr:from>
    <xdr:to>
      <xdr:col>7</xdr:col>
      <xdr:colOff>542925</xdr:colOff>
      <xdr:row>0</xdr:row>
      <xdr:rowOff>0</xdr:rowOff>
    </xdr:to>
    <xdr:cxnSp macro="">
      <xdr:nvCxnSpPr>
        <xdr:cNvPr id="73623" name="AutoShape 29"/>
        <xdr:cNvCxnSpPr>
          <a:cxnSpLocks noChangeShapeType="1"/>
          <a:stCxn id="73602" idx="1"/>
          <a:endCxn id="73634" idx="2"/>
        </xdr:cNvCxnSpPr>
      </xdr:nvCxnSpPr>
      <xdr:spPr bwMode="auto">
        <a:xfrm flipV="1">
          <a:off x="5000625" y="0"/>
          <a:ext cx="4191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114300</xdr:colOff>
      <xdr:row>0</xdr:row>
      <xdr:rowOff>0</xdr:rowOff>
    </xdr:from>
    <xdr:to>
      <xdr:col>9</xdr:col>
      <xdr:colOff>28575</xdr:colOff>
      <xdr:row>0</xdr:row>
      <xdr:rowOff>0</xdr:rowOff>
    </xdr:to>
    <xdr:cxnSp macro="">
      <xdr:nvCxnSpPr>
        <xdr:cNvPr id="73624" name="AutoShape 30"/>
        <xdr:cNvCxnSpPr>
          <a:cxnSpLocks noChangeShapeType="1"/>
          <a:stCxn id="73634" idx="0"/>
        </xdr:cNvCxnSpPr>
      </xdr:nvCxnSpPr>
      <xdr:spPr bwMode="auto">
        <a:xfrm>
          <a:off x="5534025" y="0"/>
          <a:ext cx="4572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390525</xdr:colOff>
      <xdr:row>33</xdr:row>
      <xdr:rowOff>0</xdr:rowOff>
    </xdr:to>
    <xdr:sp macro="" textlink="">
      <xdr:nvSpPr>
        <xdr:cNvPr id="72735" name="Text Box 31"/>
        <xdr:cNvSpPr txBox="1">
          <a:spLocks noChangeArrowheads="1"/>
        </xdr:cNvSpPr>
      </xdr:nvSpPr>
      <xdr:spPr bwMode="auto">
        <a:xfrm>
          <a:off x="0" y="55721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P2</a:t>
          </a:r>
        </a:p>
      </xdr:txBody>
    </xdr:sp>
    <xdr:clientData/>
  </xdr:twoCellAnchor>
  <xdr:twoCellAnchor>
    <xdr:from>
      <xdr:col>8</xdr:col>
      <xdr:colOff>800100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72736" name="Text Box 32"/>
        <xdr:cNvSpPr txBox="1">
          <a:spLocks noChangeArrowheads="1"/>
        </xdr:cNvSpPr>
      </xdr:nvSpPr>
      <xdr:spPr bwMode="auto">
        <a:xfrm>
          <a:off x="5962650" y="0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4b abs</a:t>
          </a:r>
        </a:p>
      </xdr:txBody>
    </xdr:sp>
    <xdr:clientData/>
  </xdr:twoCellAnchor>
  <xdr:twoCellAnchor>
    <xdr:from>
      <xdr:col>2</xdr:col>
      <xdr:colOff>457200</xdr:colOff>
      <xdr:row>0</xdr:row>
      <xdr:rowOff>0</xdr:rowOff>
    </xdr:from>
    <xdr:to>
      <xdr:col>3</xdr:col>
      <xdr:colOff>28575</xdr:colOff>
      <xdr:row>0</xdr:row>
      <xdr:rowOff>0</xdr:rowOff>
    </xdr:to>
    <xdr:sp macro="" textlink="">
      <xdr:nvSpPr>
        <xdr:cNvPr id="72737" name="Text Box 33"/>
        <xdr:cNvSpPr txBox="1">
          <a:spLocks noChangeArrowheads="1"/>
        </xdr:cNvSpPr>
      </xdr:nvSpPr>
      <xdr:spPr bwMode="auto">
        <a:xfrm>
          <a:off x="1676400" y="0"/>
          <a:ext cx="619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P1</a:t>
          </a:r>
        </a:p>
      </xdr:txBody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542925</xdr:colOff>
      <xdr:row>0</xdr:row>
      <xdr:rowOff>0</xdr:rowOff>
    </xdr:to>
    <xdr:cxnSp macro="">
      <xdr:nvCxnSpPr>
        <xdr:cNvPr id="73628" name="AutoShape 34"/>
        <xdr:cNvCxnSpPr>
          <a:cxnSpLocks noChangeShapeType="1"/>
          <a:stCxn id="72708" idx="0"/>
          <a:endCxn id="72721" idx="2"/>
        </xdr:cNvCxnSpPr>
      </xdr:nvCxnSpPr>
      <xdr:spPr bwMode="auto">
        <a:xfrm flipH="1" flipV="1">
          <a:off x="2800350" y="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390525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73629" name="Rectangle 35"/>
        <xdr:cNvSpPr>
          <a:spLocks noChangeArrowheads="1"/>
        </xdr:cNvSpPr>
      </xdr:nvSpPr>
      <xdr:spPr bwMode="auto">
        <a:xfrm>
          <a:off x="4724400" y="0"/>
          <a:ext cx="47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419100</xdr:colOff>
      <xdr:row>0</xdr:row>
      <xdr:rowOff>0</xdr:rowOff>
    </xdr:from>
    <xdr:to>
      <xdr:col>6</xdr:col>
      <xdr:colOff>419100</xdr:colOff>
      <xdr:row>0</xdr:row>
      <xdr:rowOff>0</xdr:rowOff>
    </xdr:to>
    <xdr:cxnSp macro="">
      <xdr:nvCxnSpPr>
        <xdr:cNvPr id="73630" name="AutoShape 36"/>
        <xdr:cNvCxnSpPr>
          <a:cxnSpLocks noChangeShapeType="1"/>
          <a:stCxn id="73629" idx="0"/>
          <a:endCxn id="72742" idx="2"/>
        </xdr:cNvCxnSpPr>
      </xdr:nvCxnSpPr>
      <xdr:spPr bwMode="auto">
        <a:xfrm flipV="1">
          <a:off x="475297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495300</xdr:colOff>
      <xdr:row>0</xdr:row>
      <xdr:rowOff>0</xdr:rowOff>
    </xdr:from>
    <xdr:to>
      <xdr:col>3</xdr:col>
      <xdr:colOff>66675</xdr:colOff>
      <xdr:row>0</xdr:row>
      <xdr:rowOff>0</xdr:rowOff>
    </xdr:to>
    <xdr:sp macro="" textlink="">
      <xdr:nvSpPr>
        <xdr:cNvPr id="72741" name="Text Box 37"/>
        <xdr:cNvSpPr txBox="1">
          <a:spLocks noChangeArrowheads="1"/>
        </xdr:cNvSpPr>
      </xdr:nvSpPr>
      <xdr:spPr bwMode="auto">
        <a:xfrm>
          <a:off x="1714500" y="0"/>
          <a:ext cx="619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Δ</a:t>
          </a: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P2</a:t>
          </a:r>
        </a:p>
      </xdr:txBody>
    </xdr:sp>
    <xdr:clientData/>
  </xdr:twoCellAnchor>
  <xdr:twoCellAnchor>
    <xdr:from>
      <xdr:col>5</xdr:col>
      <xdr:colOff>571500</xdr:colOff>
      <xdr:row>0</xdr:row>
      <xdr:rowOff>0</xdr:rowOff>
    </xdr:from>
    <xdr:to>
      <xdr:col>6</xdr:col>
      <xdr:colOff>666750</xdr:colOff>
      <xdr:row>0</xdr:row>
      <xdr:rowOff>0</xdr:rowOff>
    </xdr:to>
    <xdr:sp macro="" textlink="">
      <xdr:nvSpPr>
        <xdr:cNvPr id="72742" name="Rectangle 38"/>
        <xdr:cNvSpPr>
          <a:spLocks noChangeArrowheads="1"/>
        </xdr:cNvSpPr>
      </xdr:nvSpPr>
      <xdr:spPr bwMode="auto">
        <a:xfrm>
          <a:off x="4333875" y="0"/>
          <a:ext cx="542925" cy="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E03</a:t>
          </a:r>
        </a:p>
      </xdr:txBody>
    </xdr:sp>
    <xdr:clientData/>
  </xdr:twoCellAnchor>
  <xdr:twoCellAnchor>
    <xdr:from>
      <xdr:col>6</xdr:col>
      <xdr:colOff>209550</xdr:colOff>
      <xdr:row>0</xdr:row>
      <xdr:rowOff>0</xdr:rowOff>
    </xdr:from>
    <xdr:to>
      <xdr:col>8</xdr:col>
      <xdr:colOff>219075</xdr:colOff>
      <xdr:row>0</xdr:row>
      <xdr:rowOff>0</xdr:rowOff>
    </xdr:to>
    <xdr:cxnSp macro="">
      <xdr:nvCxnSpPr>
        <xdr:cNvPr id="73633" name="AutoShape 39"/>
        <xdr:cNvCxnSpPr>
          <a:cxnSpLocks noChangeShapeType="1"/>
          <a:stCxn id="72742" idx="0"/>
          <a:endCxn id="73637" idx="2"/>
        </xdr:cNvCxnSpPr>
      </xdr:nvCxnSpPr>
      <xdr:spPr bwMode="auto">
        <a:xfrm rot="-5400000">
          <a:off x="5091113" y="-547688"/>
          <a:ext cx="0" cy="1095375"/>
        </a:xfrm>
        <a:prstGeom prst="bentConnector3">
          <a:avLst>
            <a:gd name="adj1" fmla="val 114125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65</xdr:row>
      <xdr:rowOff>114300</xdr:rowOff>
    </xdr:from>
    <xdr:to>
      <xdr:col>15</xdr:col>
      <xdr:colOff>323850</xdr:colOff>
      <xdr:row>71</xdr:row>
      <xdr:rowOff>47625</xdr:rowOff>
    </xdr:to>
    <xdr:sp macro="" textlink="">
      <xdr:nvSpPr>
        <xdr:cNvPr id="63535" name="Line 1"/>
        <xdr:cNvSpPr>
          <a:spLocks noChangeShapeType="1"/>
        </xdr:cNvSpPr>
      </xdr:nvSpPr>
      <xdr:spPr bwMode="auto">
        <a:xfrm>
          <a:off x="10182225" y="10677525"/>
          <a:ext cx="0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504825</xdr:colOff>
      <xdr:row>77</xdr:row>
      <xdr:rowOff>66675</xdr:rowOff>
    </xdr:from>
    <xdr:to>
      <xdr:col>16</xdr:col>
      <xdr:colOff>371475</xdr:colOff>
      <xdr:row>78</xdr:row>
      <xdr:rowOff>133350</xdr:rowOff>
    </xdr:to>
    <xdr:sp macro="" textlink="">
      <xdr:nvSpPr>
        <xdr:cNvPr id="63536" name="Line 2"/>
        <xdr:cNvSpPr>
          <a:spLocks noChangeShapeType="1"/>
        </xdr:cNvSpPr>
      </xdr:nvSpPr>
      <xdr:spPr bwMode="auto">
        <a:xfrm>
          <a:off x="10363200" y="12573000"/>
          <a:ext cx="6286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36</xdr:row>
      <xdr:rowOff>133350</xdr:rowOff>
    </xdr:from>
    <xdr:to>
      <xdr:col>4</xdr:col>
      <xdr:colOff>838200</xdr:colOff>
      <xdr:row>37</xdr:row>
      <xdr:rowOff>152400</xdr:rowOff>
    </xdr:to>
    <xdr:sp macro="" textlink="">
      <xdr:nvSpPr>
        <xdr:cNvPr id="61613" name="Rectangle 12"/>
        <xdr:cNvSpPr>
          <a:spLocks noChangeArrowheads="1"/>
        </xdr:cNvSpPr>
      </xdr:nvSpPr>
      <xdr:spPr bwMode="auto">
        <a:xfrm>
          <a:off x="2819400" y="6343650"/>
          <a:ext cx="771525" cy="180975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200025</xdr:colOff>
      <xdr:row>47</xdr:row>
      <xdr:rowOff>142875</xdr:rowOff>
    </xdr:from>
    <xdr:to>
      <xdr:col>15</xdr:col>
      <xdr:colOff>95250</xdr:colOff>
      <xdr:row>52</xdr:row>
      <xdr:rowOff>152400</xdr:rowOff>
    </xdr:to>
    <xdr:sp macro="" textlink="">
      <xdr:nvSpPr>
        <xdr:cNvPr id="61614" name="Rectangle 13"/>
        <xdr:cNvSpPr>
          <a:spLocks noChangeArrowheads="1"/>
        </xdr:cNvSpPr>
      </xdr:nvSpPr>
      <xdr:spPr bwMode="auto">
        <a:xfrm>
          <a:off x="4752975" y="8134350"/>
          <a:ext cx="5743575" cy="819150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38</xdr:row>
      <xdr:rowOff>0</xdr:rowOff>
    </xdr:from>
    <xdr:to>
      <xdr:col>6</xdr:col>
      <xdr:colOff>190500</xdr:colOff>
      <xdr:row>50</xdr:row>
      <xdr:rowOff>66675</xdr:rowOff>
    </xdr:to>
    <xdr:cxnSp macro="">
      <xdr:nvCxnSpPr>
        <xdr:cNvPr id="61615" name="AutoShape 14"/>
        <xdr:cNvCxnSpPr>
          <a:cxnSpLocks noChangeShapeType="1"/>
          <a:stCxn id="61613" idx="2"/>
          <a:endCxn id="61614" idx="1"/>
        </xdr:cNvCxnSpPr>
      </xdr:nvCxnSpPr>
      <xdr:spPr bwMode="auto">
        <a:xfrm rot="16200000" flipH="1">
          <a:off x="2971800" y="6772275"/>
          <a:ext cx="2009775" cy="1533525"/>
        </a:xfrm>
        <a:prstGeom prst="bentConnector2">
          <a:avLst/>
        </a:prstGeom>
        <a:noFill/>
        <a:ln w="28575">
          <a:solidFill>
            <a:srgbClr val="FF0000"/>
          </a:solidFill>
          <a:miter lim="800000"/>
          <a:headEnd/>
          <a:tailEnd type="stealth" w="med" len="med"/>
        </a:ln>
      </xdr:spPr>
    </xdr:cxnSp>
    <xdr:clientData/>
  </xdr:twoCellAnchor>
  <xdr:twoCellAnchor>
    <xdr:from>
      <xdr:col>14</xdr:col>
      <xdr:colOff>76200</xdr:colOff>
      <xdr:row>19</xdr:row>
      <xdr:rowOff>19050</xdr:rowOff>
    </xdr:from>
    <xdr:to>
      <xdr:col>14</xdr:col>
      <xdr:colOff>152400</xdr:colOff>
      <xdr:row>23</xdr:row>
      <xdr:rowOff>104775</xdr:rowOff>
    </xdr:to>
    <xdr:sp macro="" textlink="">
      <xdr:nvSpPr>
        <xdr:cNvPr id="61616" name="AutoShape 15"/>
        <xdr:cNvSpPr>
          <a:spLocks/>
        </xdr:cNvSpPr>
      </xdr:nvSpPr>
      <xdr:spPr bwMode="auto">
        <a:xfrm>
          <a:off x="9563100" y="3467100"/>
          <a:ext cx="76200" cy="733425"/>
        </a:xfrm>
        <a:prstGeom prst="rightBrace">
          <a:avLst>
            <a:gd name="adj1" fmla="val 802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24</xdr:row>
      <xdr:rowOff>9525</xdr:rowOff>
    </xdr:from>
    <xdr:to>
      <xdr:col>14</xdr:col>
      <xdr:colOff>152400</xdr:colOff>
      <xdr:row>27</xdr:row>
      <xdr:rowOff>133350</xdr:rowOff>
    </xdr:to>
    <xdr:sp macro="" textlink="">
      <xdr:nvSpPr>
        <xdr:cNvPr id="61617" name="AutoShape 16"/>
        <xdr:cNvSpPr>
          <a:spLocks/>
        </xdr:cNvSpPr>
      </xdr:nvSpPr>
      <xdr:spPr bwMode="auto">
        <a:xfrm>
          <a:off x="9563100" y="4267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35</xdr:row>
      <xdr:rowOff>38100</xdr:rowOff>
    </xdr:from>
    <xdr:to>
      <xdr:col>14</xdr:col>
      <xdr:colOff>152400</xdr:colOff>
      <xdr:row>39</xdr:row>
      <xdr:rowOff>133350</xdr:rowOff>
    </xdr:to>
    <xdr:sp macro="" textlink="">
      <xdr:nvSpPr>
        <xdr:cNvPr id="61618" name="AutoShape 17"/>
        <xdr:cNvSpPr>
          <a:spLocks/>
        </xdr:cNvSpPr>
      </xdr:nvSpPr>
      <xdr:spPr bwMode="auto">
        <a:xfrm>
          <a:off x="9563100" y="6086475"/>
          <a:ext cx="76200" cy="742950"/>
        </a:xfrm>
        <a:prstGeom prst="rightBrace">
          <a:avLst>
            <a:gd name="adj1" fmla="val 81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40</xdr:row>
      <xdr:rowOff>28575</xdr:rowOff>
    </xdr:from>
    <xdr:to>
      <xdr:col>14</xdr:col>
      <xdr:colOff>152400</xdr:colOff>
      <xdr:row>43</xdr:row>
      <xdr:rowOff>152400</xdr:rowOff>
    </xdr:to>
    <xdr:sp macro="" textlink="">
      <xdr:nvSpPr>
        <xdr:cNvPr id="61619" name="AutoShape 18"/>
        <xdr:cNvSpPr>
          <a:spLocks/>
        </xdr:cNvSpPr>
      </xdr:nvSpPr>
      <xdr:spPr bwMode="auto">
        <a:xfrm>
          <a:off x="9563100" y="6886575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36</xdr:row>
      <xdr:rowOff>133350</xdr:rowOff>
    </xdr:from>
    <xdr:to>
      <xdr:col>4</xdr:col>
      <xdr:colOff>781050</xdr:colOff>
      <xdr:row>37</xdr:row>
      <xdr:rowOff>152400</xdr:rowOff>
    </xdr:to>
    <xdr:sp macro="" textlink="">
      <xdr:nvSpPr>
        <xdr:cNvPr id="64674" name="Rectangle 1"/>
        <xdr:cNvSpPr>
          <a:spLocks noChangeArrowheads="1"/>
        </xdr:cNvSpPr>
      </xdr:nvSpPr>
      <xdr:spPr bwMode="auto">
        <a:xfrm>
          <a:off x="2533650" y="6029325"/>
          <a:ext cx="771525" cy="190500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200025</xdr:colOff>
      <xdr:row>47</xdr:row>
      <xdr:rowOff>142875</xdr:rowOff>
    </xdr:from>
    <xdr:to>
      <xdr:col>15</xdr:col>
      <xdr:colOff>95250</xdr:colOff>
      <xdr:row>52</xdr:row>
      <xdr:rowOff>152400</xdr:rowOff>
    </xdr:to>
    <xdr:sp macro="" textlink="">
      <xdr:nvSpPr>
        <xdr:cNvPr id="64675" name="Rectangle 2"/>
        <xdr:cNvSpPr>
          <a:spLocks noChangeArrowheads="1"/>
        </xdr:cNvSpPr>
      </xdr:nvSpPr>
      <xdr:spPr bwMode="auto">
        <a:xfrm>
          <a:off x="4276725" y="7839075"/>
          <a:ext cx="5534025" cy="828675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400050</xdr:colOff>
      <xdr:row>38</xdr:row>
      <xdr:rowOff>0</xdr:rowOff>
    </xdr:from>
    <xdr:to>
      <xdr:col>6</xdr:col>
      <xdr:colOff>190500</xdr:colOff>
      <xdr:row>47</xdr:row>
      <xdr:rowOff>66675</xdr:rowOff>
    </xdr:to>
    <xdr:cxnSp macro="">
      <xdr:nvCxnSpPr>
        <xdr:cNvPr id="64676" name="AutoShape 3"/>
        <xdr:cNvCxnSpPr>
          <a:cxnSpLocks noChangeShapeType="1"/>
          <a:stCxn id="64674" idx="2"/>
          <a:endCxn id="64675" idx="1"/>
        </xdr:cNvCxnSpPr>
      </xdr:nvCxnSpPr>
      <xdr:spPr bwMode="auto">
        <a:xfrm rot="16200000" flipH="1">
          <a:off x="2828925" y="6324600"/>
          <a:ext cx="1533525" cy="1343025"/>
        </a:xfrm>
        <a:prstGeom prst="bentConnector2">
          <a:avLst/>
        </a:prstGeom>
        <a:noFill/>
        <a:ln w="28575">
          <a:solidFill>
            <a:srgbClr val="FF0000"/>
          </a:solidFill>
          <a:miter lim="800000"/>
          <a:headEnd/>
          <a:tailEnd type="stealth" w="med" len="med"/>
        </a:ln>
      </xdr:spPr>
    </xdr:cxnSp>
    <xdr:clientData/>
  </xdr:twoCellAnchor>
  <xdr:twoCellAnchor>
    <xdr:from>
      <xdr:col>14</xdr:col>
      <xdr:colOff>76200</xdr:colOff>
      <xdr:row>19</xdr:row>
      <xdr:rowOff>19050</xdr:rowOff>
    </xdr:from>
    <xdr:to>
      <xdr:col>14</xdr:col>
      <xdr:colOff>152400</xdr:colOff>
      <xdr:row>23</xdr:row>
      <xdr:rowOff>104775</xdr:rowOff>
    </xdr:to>
    <xdr:sp macro="" textlink="">
      <xdr:nvSpPr>
        <xdr:cNvPr id="64677" name="AutoShape 4"/>
        <xdr:cNvSpPr>
          <a:spLocks/>
        </xdr:cNvSpPr>
      </xdr:nvSpPr>
      <xdr:spPr bwMode="auto">
        <a:xfrm>
          <a:off x="8877300" y="3133725"/>
          <a:ext cx="76200" cy="742950"/>
        </a:xfrm>
        <a:prstGeom prst="rightBrace">
          <a:avLst>
            <a:gd name="adj1" fmla="val 81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24</xdr:row>
      <xdr:rowOff>9525</xdr:rowOff>
    </xdr:from>
    <xdr:to>
      <xdr:col>14</xdr:col>
      <xdr:colOff>152400</xdr:colOff>
      <xdr:row>27</xdr:row>
      <xdr:rowOff>133350</xdr:rowOff>
    </xdr:to>
    <xdr:sp macro="" textlink="">
      <xdr:nvSpPr>
        <xdr:cNvPr id="64678" name="AutoShape 5"/>
        <xdr:cNvSpPr>
          <a:spLocks/>
        </xdr:cNvSpPr>
      </xdr:nvSpPr>
      <xdr:spPr bwMode="auto">
        <a:xfrm>
          <a:off x="8877300" y="394335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35</xdr:row>
      <xdr:rowOff>38100</xdr:rowOff>
    </xdr:from>
    <xdr:to>
      <xdr:col>14</xdr:col>
      <xdr:colOff>152400</xdr:colOff>
      <xdr:row>39</xdr:row>
      <xdr:rowOff>133350</xdr:rowOff>
    </xdr:to>
    <xdr:sp macro="" textlink="">
      <xdr:nvSpPr>
        <xdr:cNvPr id="64679" name="AutoShape 6"/>
        <xdr:cNvSpPr>
          <a:spLocks/>
        </xdr:cNvSpPr>
      </xdr:nvSpPr>
      <xdr:spPr bwMode="auto">
        <a:xfrm>
          <a:off x="8877300" y="5772150"/>
          <a:ext cx="76200" cy="752475"/>
        </a:xfrm>
        <a:prstGeom prst="rightBrace">
          <a:avLst>
            <a:gd name="adj1" fmla="val 822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76200</xdr:colOff>
      <xdr:row>40</xdr:row>
      <xdr:rowOff>28575</xdr:rowOff>
    </xdr:from>
    <xdr:to>
      <xdr:col>14</xdr:col>
      <xdr:colOff>152400</xdr:colOff>
      <xdr:row>43</xdr:row>
      <xdr:rowOff>152400</xdr:rowOff>
    </xdr:to>
    <xdr:sp macro="" textlink="">
      <xdr:nvSpPr>
        <xdr:cNvPr id="64680" name="AutoShape 7"/>
        <xdr:cNvSpPr>
          <a:spLocks/>
        </xdr:cNvSpPr>
      </xdr:nvSpPr>
      <xdr:spPr bwMode="auto">
        <a:xfrm>
          <a:off x="8877300" y="6581775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24</xdr:row>
      <xdr:rowOff>152400</xdr:rowOff>
    </xdr:from>
    <xdr:to>
      <xdr:col>4</xdr:col>
      <xdr:colOff>171450</xdr:colOff>
      <xdr:row>24</xdr:row>
      <xdr:rowOff>152400</xdr:rowOff>
    </xdr:to>
    <xdr:sp macro="" textlink="">
      <xdr:nvSpPr>
        <xdr:cNvPr id="55391" name="Line 1"/>
        <xdr:cNvSpPr>
          <a:spLocks noChangeShapeType="1"/>
        </xdr:cNvSpPr>
      </xdr:nvSpPr>
      <xdr:spPr bwMode="auto">
        <a:xfrm>
          <a:off x="2276475" y="40386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180975</xdr:colOff>
      <xdr:row>23</xdr:row>
      <xdr:rowOff>57150</xdr:rowOff>
    </xdr:from>
    <xdr:to>
      <xdr:col>4</xdr:col>
      <xdr:colOff>666750</xdr:colOff>
      <xdr:row>26</xdr:row>
      <xdr:rowOff>114300</xdr:rowOff>
    </xdr:to>
    <xdr:sp macro="" textlink="">
      <xdr:nvSpPr>
        <xdr:cNvPr id="55392" name="AutoShape 2"/>
        <xdr:cNvSpPr>
          <a:spLocks noChangeArrowheads="1"/>
        </xdr:cNvSpPr>
      </xdr:nvSpPr>
      <xdr:spPr bwMode="auto">
        <a:xfrm rot="5400000">
          <a:off x="3200400" y="3810000"/>
          <a:ext cx="542925" cy="4857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676275</xdr:colOff>
      <xdr:row>25</xdr:row>
      <xdr:rowOff>0</xdr:rowOff>
    </xdr:from>
    <xdr:to>
      <xdr:col>6</xdr:col>
      <xdr:colOff>95250</xdr:colOff>
      <xdr:row>25</xdr:row>
      <xdr:rowOff>0</xdr:rowOff>
    </xdr:to>
    <xdr:sp macro="" textlink="">
      <xdr:nvSpPr>
        <xdr:cNvPr id="55393" name="Line 3"/>
        <xdr:cNvSpPr>
          <a:spLocks noChangeShapeType="1"/>
        </xdr:cNvSpPr>
      </xdr:nvSpPr>
      <xdr:spPr bwMode="auto">
        <a:xfrm>
          <a:off x="3724275" y="404812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</xdr:col>
      <xdr:colOff>161925</xdr:colOff>
      <xdr:row>3</xdr:row>
      <xdr:rowOff>0</xdr:rowOff>
    </xdr:from>
    <xdr:to>
      <xdr:col>7</xdr:col>
      <xdr:colOff>323850</xdr:colOff>
      <xdr:row>20</xdr:row>
      <xdr:rowOff>123825</xdr:rowOff>
    </xdr:to>
    <xdr:pic>
      <xdr:nvPicPr>
        <xdr:cNvPr id="553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" y="485775"/>
          <a:ext cx="491490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8</xdr:row>
      <xdr:rowOff>76200</xdr:rowOff>
    </xdr:from>
    <xdr:to>
      <xdr:col>7</xdr:col>
      <xdr:colOff>752475</xdr:colOff>
      <xdr:row>10</xdr:row>
      <xdr:rowOff>152400</xdr:rowOff>
    </xdr:to>
    <xdr:pic>
      <xdr:nvPicPr>
        <xdr:cNvPr id="57368" name="Picture 1" descr="CodeCogs Cell Ref:C4_R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539" t="-3171" r="-539" b="-3171"/>
        <a:stretch>
          <a:fillRect/>
        </a:stretch>
      </xdr:blipFill>
      <xdr:spPr bwMode="auto">
        <a:xfrm>
          <a:off x="4276725" y="1371600"/>
          <a:ext cx="2266950" cy="400050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16</xdr:row>
      <xdr:rowOff>95250</xdr:rowOff>
    </xdr:from>
    <xdr:to>
      <xdr:col>11</xdr:col>
      <xdr:colOff>619125</xdr:colOff>
      <xdr:row>18</xdr:row>
      <xdr:rowOff>152400</xdr:rowOff>
    </xdr:to>
    <xdr:pic>
      <xdr:nvPicPr>
        <xdr:cNvPr id="50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2762250"/>
          <a:ext cx="16573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238125</xdr:colOff>
      <xdr:row>15</xdr:row>
      <xdr:rowOff>152400</xdr:rowOff>
    </xdr:from>
    <xdr:to>
      <xdr:col>14</xdr:col>
      <xdr:colOff>276225</xdr:colOff>
      <xdr:row>19</xdr:row>
      <xdr:rowOff>123825</xdr:rowOff>
    </xdr:to>
    <xdr:pic>
      <xdr:nvPicPr>
        <xdr:cNvPr id="50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7950" y="2657475"/>
          <a:ext cx="15621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16</xdr:col>
      <xdr:colOff>9525</xdr:colOff>
      <xdr:row>4</xdr:row>
      <xdr:rowOff>152400</xdr:rowOff>
    </xdr:to>
    <xdr:pic>
      <xdr:nvPicPr>
        <xdr:cNvPr id="504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62775" y="161925"/>
          <a:ext cx="61245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13</xdr:col>
      <xdr:colOff>571500</xdr:colOff>
      <xdr:row>9</xdr:row>
      <xdr:rowOff>152400</xdr:rowOff>
    </xdr:to>
    <xdr:pic>
      <xdr:nvPicPr>
        <xdr:cNvPr id="504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62775" y="971550"/>
          <a:ext cx="440055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14</xdr:col>
      <xdr:colOff>371475</xdr:colOff>
      <xdr:row>14</xdr:row>
      <xdr:rowOff>133350</xdr:rowOff>
    </xdr:to>
    <xdr:pic>
      <xdr:nvPicPr>
        <xdr:cNvPr id="504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62775" y="1781175"/>
          <a:ext cx="496252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0</xdr:col>
      <xdr:colOff>647700</xdr:colOff>
      <xdr:row>64</xdr:row>
      <xdr:rowOff>85725</xdr:rowOff>
    </xdr:from>
    <xdr:to>
      <xdr:col>5</xdr:col>
      <xdr:colOff>638175</xdr:colOff>
      <xdr:row>83</xdr:row>
      <xdr:rowOff>57150</xdr:rowOff>
    </xdr:to>
    <xdr:graphicFrame macro="">
      <xdr:nvGraphicFramePr>
        <xdr:cNvPr id="5041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238125</xdr:colOff>
      <xdr:row>64</xdr:row>
      <xdr:rowOff>114300</xdr:rowOff>
    </xdr:from>
    <xdr:to>
      <xdr:col>12</xdr:col>
      <xdr:colOff>323850</xdr:colOff>
      <xdr:row>83</xdr:row>
      <xdr:rowOff>95250</xdr:rowOff>
    </xdr:to>
    <xdr:graphicFrame macro="">
      <xdr:nvGraphicFramePr>
        <xdr:cNvPr id="504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638175</xdr:colOff>
      <xdr:row>50</xdr:row>
      <xdr:rowOff>38100</xdr:rowOff>
    </xdr:from>
    <xdr:to>
      <xdr:col>5</xdr:col>
      <xdr:colOff>647700</xdr:colOff>
      <xdr:row>69</xdr:row>
      <xdr:rowOff>28575</xdr:rowOff>
    </xdr:to>
    <xdr:graphicFrame macro="">
      <xdr:nvGraphicFramePr>
        <xdr:cNvPr id="5041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19</xdr:row>
      <xdr:rowOff>95250</xdr:rowOff>
    </xdr:to>
    <xdr:pic>
      <xdr:nvPicPr>
        <xdr:cNvPr id="5042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62775" y="2828925"/>
          <a:ext cx="7715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16</xdr:row>
      <xdr:rowOff>95250</xdr:rowOff>
    </xdr:from>
    <xdr:to>
      <xdr:col>11</xdr:col>
      <xdr:colOff>619125</xdr:colOff>
      <xdr:row>18</xdr:row>
      <xdr:rowOff>152400</xdr:rowOff>
    </xdr:to>
    <xdr:pic>
      <xdr:nvPicPr>
        <xdr:cNvPr id="49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2762250"/>
          <a:ext cx="16573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238125</xdr:colOff>
      <xdr:row>15</xdr:row>
      <xdr:rowOff>152400</xdr:rowOff>
    </xdr:from>
    <xdr:to>
      <xdr:col>14</xdr:col>
      <xdr:colOff>276225</xdr:colOff>
      <xdr:row>19</xdr:row>
      <xdr:rowOff>123825</xdr:rowOff>
    </xdr:to>
    <xdr:pic>
      <xdr:nvPicPr>
        <xdr:cNvPr id="49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67950" y="2657475"/>
          <a:ext cx="156210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16</xdr:col>
      <xdr:colOff>9525</xdr:colOff>
      <xdr:row>4</xdr:row>
      <xdr:rowOff>152400</xdr:rowOff>
    </xdr:to>
    <xdr:pic>
      <xdr:nvPicPr>
        <xdr:cNvPr id="4936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62775" y="161925"/>
          <a:ext cx="61245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13</xdr:col>
      <xdr:colOff>571500</xdr:colOff>
      <xdr:row>9</xdr:row>
      <xdr:rowOff>152400</xdr:rowOff>
    </xdr:to>
    <xdr:pic>
      <xdr:nvPicPr>
        <xdr:cNvPr id="4936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62775" y="971550"/>
          <a:ext cx="4400550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14</xdr:col>
      <xdr:colOff>371475</xdr:colOff>
      <xdr:row>14</xdr:row>
      <xdr:rowOff>133350</xdr:rowOff>
    </xdr:to>
    <xdr:pic>
      <xdr:nvPicPr>
        <xdr:cNvPr id="493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62775" y="1781175"/>
          <a:ext cx="496252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18</xdr:col>
      <xdr:colOff>400050</xdr:colOff>
      <xdr:row>48</xdr:row>
      <xdr:rowOff>114300</xdr:rowOff>
    </xdr:from>
    <xdr:to>
      <xdr:col>24</xdr:col>
      <xdr:colOff>485775</xdr:colOff>
      <xdr:row>67</xdr:row>
      <xdr:rowOff>85725</xdr:rowOff>
    </xdr:to>
    <xdr:graphicFrame macro="">
      <xdr:nvGraphicFramePr>
        <xdr:cNvPr id="4936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466725</xdr:colOff>
      <xdr:row>50</xdr:row>
      <xdr:rowOff>0</xdr:rowOff>
    </xdr:from>
    <xdr:to>
      <xdr:col>6</xdr:col>
      <xdr:colOff>466725</xdr:colOff>
      <xdr:row>68</xdr:row>
      <xdr:rowOff>142875</xdr:rowOff>
    </xdr:to>
    <xdr:graphicFrame macro="">
      <xdr:nvGraphicFramePr>
        <xdr:cNvPr id="4936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571500</xdr:colOff>
      <xdr:row>49</xdr:row>
      <xdr:rowOff>152400</xdr:rowOff>
    </xdr:from>
    <xdr:to>
      <xdr:col>13</xdr:col>
      <xdr:colOff>666750</xdr:colOff>
      <xdr:row>68</xdr:row>
      <xdr:rowOff>142875</xdr:rowOff>
    </xdr:to>
    <xdr:graphicFrame macro="">
      <xdr:nvGraphicFramePr>
        <xdr:cNvPr id="4936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9525</xdr:colOff>
      <xdr:row>19</xdr:row>
      <xdr:rowOff>95250</xdr:rowOff>
    </xdr:to>
    <xdr:pic>
      <xdr:nvPicPr>
        <xdr:cNvPr id="4936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62775" y="2828925"/>
          <a:ext cx="7715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31</xdr:row>
      <xdr:rowOff>9525</xdr:rowOff>
    </xdr:from>
    <xdr:to>
      <xdr:col>19</xdr:col>
      <xdr:colOff>571500</xdr:colOff>
      <xdr:row>45</xdr:row>
      <xdr:rowOff>0</xdr:rowOff>
    </xdr:to>
    <xdr:pic>
      <xdr:nvPicPr>
        <xdr:cNvPr id="1824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029200"/>
          <a:ext cx="658177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885825</xdr:colOff>
      <xdr:row>71</xdr:row>
      <xdr:rowOff>104775</xdr:rowOff>
    </xdr:from>
    <xdr:to>
      <xdr:col>7</xdr:col>
      <xdr:colOff>942975</xdr:colOff>
      <xdr:row>71</xdr:row>
      <xdr:rowOff>114300</xdr:rowOff>
    </xdr:to>
    <xdr:cxnSp macro="">
      <xdr:nvCxnSpPr>
        <xdr:cNvPr id="182466" name="AutoShape 14"/>
        <xdr:cNvCxnSpPr>
          <a:cxnSpLocks noChangeShapeType="1"/>
          <a:stCxn id="182472" idx="3"/>
        </xdr:cNvCxnSpPr>
      </xdr:nvCxnSpPr>
      <xdr:spPr bwMode="auto">
        <a:xfrm flipV="1">
          <a:off x="5972175" y="11601450"/>
          <a:ext cx="1057275" cy="952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4</xdr:col>
      <xdr:colOff>152400</xdr:colOff>
      <xdr:row>71</xdr:row>
      <xdr:rowOff>9525</xdr:rowOff>
    </xdr:from>
    <xdr:to>
      <xdr:col>6</xdr:col>
      <xdr:colOff>904875</xdr:colOff>
      <xdr:row>72</xdr:row>
      <xdr:rowOff>47625</xdr:rowOff>
    </xdr:to>
    <xdr:grpSp>
      <xdr:nvGrpSpPr>
        <xdr:cNvPr id="182467" name="Group 15"/>
        <xdr:cNvGrpSpPr>
          <a:grpSpLocks/>
        </xdr:cNvGrpSpPr>
      </xdr:nvGrpSpPr>
      <xdr:grpSpPr bwMode="auto">
        <a:xfrm>
          <a:off x="3366052" y="11770829"/>
          <a:ext cx="2640910" cy="203753"/>
          <a:chOff x="1727" y="1537"/>
          <a:chExt cx="1662" cy="124"/>
        </a:xfrm>
      </xdr:grpSpPr>
      <xdr:grpSp>
        <xdr:nvGrpSpPr>
          <xdr:cNvPr id="182471" name="Group 16"/>
          <xdr:cNvGrpSpPr>
            <a:grpSpLocks/>
          </xdr:cNvGrpSpPr>
        </xdr:nvGrpSpPr>
        <xdr:grpSpPr bwMode="auto">
          <a:xfrm flipV="1">
            <a:off x="1729" y="1537"/>
            <a:ext cx="1660" cy="124"/>
            <a:chOff x="-2044" y="579"/>
            <a:chExt cx="5265" cy="393"/>
          </a:xfrm>
        </xdr:grpSpPr>
        <xdr:sp macro="" textlink="">
          <xdr:nvSpPr>
            <xdr:cNvPr id="182473" name="Oval 17"/>
            <xdr:cNvSpPr>
              <a:spLocks noChangeArrowheads="1"/>
            </xdr:cNvSpPr>
          </xdr:nvSpPr>
          <xdr:spPr bwMode="auto">
            <a:xfrm>
              <a:off x="-2044" y="579"/>
              <a:ext cx="195" cy="393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2474" name="Line 18"/>
            <xdr:cNvSpPr>
              <a:spLocks noChangeShapeType="1"/>
            </xdr:cNvSpPr>
          </xdr:nvSpPr>
          <xdr:spPr bwMode="auto">
            <a:xfrm>
              <a:off x="-1949" y="580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2475" name="Line 19"/>
            <xdr:cNvSpPr>
              <a:spLocks noChangeShapeType="1"/>
            </xdr:cNvSpPr>
          </xdr:nvSpPr>
          <xdr:spPr bwMode="auto">
            <a:xfrm>
              <a:off x="-1949" y="972"/>
              <a:ext cx="507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2476" name="Arc 20"/>
            <xdr:cNvSpPr>
              <a:spLocks/>
            </xdr:cNvSpPr>
          </xdr:nvSpPr>
          <xdr:spPr bwMode="auto">
            <a:xfrm>
              <a:off x="3122" y="579"/>
              <a:ext cx="99" cy="390"/>
            </a:xfrm>
            <a:custGeom>
              <a:avLst/>
              <a:gdLst>
                <a:gd name="T0" fmla="*/ 0 w 21600"/>
                <a:gd name="T1" fmla="*/ 0 h 43199"/>
                <a:gd name="T2" fmla="*/ 0 w 21600"/>
                <a:gd name="T3" fmla="*/ 0 h 43199"/>
                <a:gd name="T4" fmla="*/ 0 w 21600"/>
                <a:gd name="T5" fmla="*/ 0 h 43199"/>
                <a:gd name="T6" fmla="*/ 0 60000 65536"/>
                <a:gd name="T7" fmla="*/ 0 60000 65536"/>
                <a:gd name="T8" fmla="*/ 0 60000 65536"/>
                <a:gd name="T9" fmla="*/ 0 w 21600"/>
                <a:gd name="T10" fmla="*/ 0 h 43199"/>
                <a:gd name="T11" fmla="*/ 21600 w 21600"/>
                <a:gd name="T12" fmla="*/ 43199 h 4319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43199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</a:path>
                <a:path w="21600" h="43199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cubicBezTo>
                    <a:pt x="21600" y="33438"/>
                    <a:pt x="12070" y="43071"/>
                    <a:pt x="232" y="43198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82472" name="Rectangle 21"/>
          <xdr:cNvSpPr>
            <a:spLocks noChangeArrowheads="1"/>
          </xdr:cNvSpPr>
        </xdr:nvSpPr>
        <xdr:spPr bwMode="auto">
          <a:xfrm>
            <a:off x="1727" y="1539"/>
            <a:ext cx="1651" cy="1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oneCellAnchor>
    <xdr:from>
      <xdr:col>3</xdr:col>
      <xdr:colOff>38100</xdr:colOff>
      <xdr:row>70</xdr:row>
      <xdr:rowOff>133350</xdr:rowOff>
    </xdr:from>
    <xdr:ext cx="655244" cy="269369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876839" y="11729002"/>
          <a:ext cx="655244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Supply</a:t>
          </a:r>
        </a:p>
      </xdr:txBody>
    </xdr:sp>
    <xdr:clientData/>
  </xdr:oneCellAnchor>
  <xdr:twoCellAnchor>
    <xdr:from>
      <xdr:col>3</xdr:col>
      <xdr:colOff>676275</xdr:colOff>
      <xdr:row>71</xdr:row>
      <xdr:rowOff>114300</xdr:rowOff>
    </xdr:from>
    <xdr:to>
      <xdr:col>4</xdr:col>
      <xdr:colOff>152400</xdr:colOff>
      <xdr:row>71</xdr:row>
      <xdr:rowOff>114300</xdr:rowOff>
    </xdr:to>
    <xdr:cxnSp macro="">
      <xdr:nvCxnSpPr>
        <xdr:cNvPr id="182469" name="AutoShape 33"/>
        <xdr:cNvCxnSpPr>
          <a:cxnSpLocks noChangeShapeType="1"/>
          <a:stCxn id="182472" idx="1"/>
          <a:endCxn id="27" idx="3"/>
        </xdr:cNvCxnSpPr>
      </xdr:nvCxnSpPr>
      <xdr:spPr bwMode="auto">
        <a:xfrm rot="10800000">
          <a:off x="2505075" y="11610975"/>
          <a:ext cx="847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581025</xdr:colOff>
      <xdr:row>81</xdr:row>
      <xdr:rowOff>85725</xdr:rowOff>
    </xdr:from>
    <xdr:to>
      <xdr:col>5</xdr:col>
      <xdr:colOff>781050</xdr:colOff>
      <xdr:row>83</xdr:row>
      <xdr:rowOff>152400</xdr:rowOff>
    </xdr:to>
    <xdr:sp macro="" textlink="">
      <xdr:nvSpPr>
        <xdr:cNvPr id="182470" name="AutoShape 35"/>
        <xdr:cNvSpPr>
          <a:spLocks noChangeArrowheads="1"/>
        </xdr:cNvSpPr>
      </xdr:nvSpPr>
      <xdr:spPr bwMode="auto">
        <a:xfrm rot="-5400000">
          <a:off x="4448175" y="13296900"/>
          <a:ext cx="390525" cy="200025"/>
        </a:xfrm>
        <a:prstGeom prst="notchedRightArrow">
          <a:avLst>
            <a:gd name="adj1" fmla="val 50000"/>
            <a:gd name="adj2" fmla="val 48810"/>
          </a:avLst>
        </a:prstGeom>
        <a:solidFill>
          <a:srgbClr val="BBE0E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21</xdr:row>
      <xdr:rowOff>9525</xdr:rowOff>
    </xdr:from>
    <xdr:to>
      <xdr:col>12</xdr:col>
      <xdr:colOff>333375</xdr:colOff>
      <xdr:row>37</xdr:row>
      <xdr:rowOff>142875</xdr:rowOff>
    </xdr:to>
    <xdr:graphicFrame macro="">
      <xdr:nvGraphicFramePr>
        <xdr:cNvPr id="881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21</xdr:row>
      <xdr:rowOff>85725</xdr:rowOff>
    </xdr:from>
    <xdr:to>
      <xdr:col>23</xdr:col>
      <xdr:colOff>114300</xdr:colOff>
      <xdr:row>38</xdr:row>
      <xdr:rowOff>57150</xdr:rowOff>
    </xdr:to>
    <xdr:graphicFrame macro="">
      <xdr:nvGraphicFramePr>
        <xdr:cNvPr id="881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533400</xdr:colOff>
      <xdr:row>21</xdr:row>
      <xdr:rowOff>57150</xdr:rowOff>
    </xdr:from>
    <xdr:to>
      <xdr:col>35</xdr:col>
      <xdr:colOff>266700</xdr:colOff>
      <xdr:row>38</xdr:row>
      <xdr:rowOff>28575</xdr:rowOff>
    </xdr:to>
    <xdr:graphicFrame macro="">
      <xdr:nvGraphicFramePr>
        <xdr:cNvPr id="881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152400</xdr:colOff>
      <xdr:row>69</xdr:row>
      <xdr:rowOff>104775</xdr:rowOff>
    </xdr:from>
    <xdr:to>
      <xdr:col>17</xdr:col>
      <xdr:colOff>266700</xdr:colOff>
      <xdr:row>92</xdr:row>
      <xdr:rowOff>114300</xdr:rowOff>
    </xdr:to>
    <xdr:graphicFrame macro="">
      <xdr:nvGraphicFramePr>
        <xdr:cNvPr id="881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17</xdr:row>
      <xdr:rowOff>38100</xdr:rowOff>
    </xdr:from>
    <xdr:to>
      <xdr:col>8</xdr:col>
      <xdr:colOff>390525</xdr:colOff>
      <xdr:row>20</xdr:row>
      <xdr:rowOff>133350</xdr:rowOff>
    </xdr:to>
    <xdr:sp macro="" textlink="">
      <xdr:nvSpPr>
        <xdr:cNvPr id="90398" name="AutoShape 2"/>
        <xdr:cNvSpPr>
          <a:spLocks noChangeArrowheads="1"/>
        </xdr:cNvSpPr>
      </xdr:nvSpPr>
      <xdr:spPr bwMode="auto">
        <a:xfrm rot="16200000" flipH="1">
          <a:off x="5343525" y="2771775"/>
          <a:ext cx="609600" cy="11620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19</xdr:row>
      <xdr:rowOff>9525</xdr:rowOff>
    </xdr:from>
    <xdr:to>
      <xdr:col>6</xdr:col>
      <xdr:colOff>962025</xdr:colOff>
      <xdr:row>19</xdr:row>
      <xdr:rowOff>9525</xdr:rowOff>
    </xdr:to>
    <xdr:sp macro="" textlink="">
      <xdr:nvSpPr>
        <xdr:cNvPr id="90399" name="Line 3"/>
        <xdr:cNvSpPr>
          <a:spLocks noChangeShapeType="1"/>
        </xdr:cNvSpPr>
      </xdr:nvSpPr>
      <xdr:spPr bwMode="auto">
        <a:xfrm>
          <a:off x="2495550" y="3371850"/>
          <a:ext cx="25622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19</xdr:row>
      <xdr:rowOff>9525</xdr:rowOff>
    </xdr:from>
    <xdr:to>
      <xdr:col>12</xdr:col>
      <xdr:colOff>76200</xdr:colOff>
      <xdr:row>19</xdr:row>
      <xdr:rowOff>9525</xdr:rowOff>
    </xdr:to>
    <xdr:sp macro="" textlink="">
      <xdr:nvSpPr>
        <xdr:cNvPr id="90400" name="Line 4"/>
        <xdr:cNvSpPr>
          <a:spLocks noChangeShapeType="1"/>
        </xdr:cNvSpPr>
      </xdr:nvSpPr>
      <xdr:spPr bwMode="auto">
        <a:xfrm>
          <a:off x="6276975" y="3371850"/>
          <a:ext cx="270510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57150</xdr:colOff>
      <xdr:row>29</xdr:row>
      <xdr:rowOff>142875</xdr:rowOff>
    </xdr:from>
    <xdr:to>
      <xdr:col>6</xdr:col>
      <xdr:colOff>962025</xdr:colOff>
      <xdr:row>29</xdr:row>
      <xdr:rowOff>142875</xdr:rowOff>
    </xdr:to>
    <xdr:sp macro="" textlink="">
      <xdr:nvSpPr>
        <xdr:cNvPr id="90401" name="Line 6"/>
        <xdr:cNvSpPr>
          <a:spLocks noChangeShapeType="1"/>
        </xdr:cNvSpPr>
      </xdr:nvSpPr>
      <xdr:spPr bwMode="auto">
        <a:xfrm>
          <a:off x="2495550" y="5229225"/>
          <a:ext cx="25622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29</xdr:row>
      <xdr:rowOff>142875</xdr:rowOff>
    </xdr:from>
    <xdr:to>
      <xdr:col>12</xdr:col>
      <xdr:colOff>76200</xdr:colOff>
      <xdr:row>29</xdr:row>
      <xdr:rowOff>142875</xdr:rowOff>
    </xdr:to>
    <xdr:sp macro="" textlink="">
      <xdr:nvSpPr>
        <xdr:cNvPr id="90402" name="Line 7"/>
        <xdr:cNvSpPr>
          <a:spLocks noChangeShapeType="1"/>
        </xdr:cNvSpPr>
      </xdr:nvSpPr>
      <xdr:spPr bwMode="auto">
        <a:xfrm>
          <a:off x="6276975" y="5229225"/>
          <a:ext cx="270510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971550</xdr:colOff>
      <xdr:row>28</xdr:row>
      <xdr:rowOff>38100</xdr:rowOff>
    </xdr:from>
    <xdr:to>
      <xdr:col>8</xdr:col>
      <xdr:colOff>390525</xdr:colOff>
      <xdr:row>31</xdr:row>
      <xdr:rowOff>133350</xdr:rowOff>
    </xdr:to>
    <xdr:sp macro="" textlink="">
      <xdr:nvSpPr>
        <xdr:cNvPr id="90403" name="AutoShape 15"/>
        <xdr:cNvSpPr>
          <a:spLocks noChangeArrowheads="1"/>
        </xdr:cNvSpPr>
      </xdr:nvSpPr>
      <xdr:spPr bwMode="auto">
        <a:xfrm rot="16200000" flipH="1">
          <a:off x="5343525" y="4657725"/>
          <a:ext cx="609600" cy="11620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38</xdr:row>
      <xdr:rowOff>142875</xdr:rowOff>
    </xdr:from>
    <xdr:to>
      <xdr:col>6</xdr:col>
      <xdr:colOff>962025</xdr:colOff>
      <xdr:row>38</xdr:row>
      <xdr:rowOff>142875</xdr:rowOff>
    </xdr:to>
    <xdr:sp macro="" textlink="">
      <xdr:nvSpPr>
        <xdr:cNvPr id="90404" name="Line 16"/>
        <xdr:cNvSpPr>
          <a:spLocks noChangeShapeType="1"/>
        </xdr:cNvSpPr>
      </xdr:nvSpPr>
      <xdr:spPr bwMode="auto">
        <a:xfrm>
          <a:off x="2495550" y="6791325"/>
          <a:ext cx="25622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38</xdr:row>
      <xdr:rowOff>142875</xdr:rowOff>
    </xdr:from>
    <xdr:to>
      <xdr:col>12</xdr:col>
      <xdr:colOff>76200</xdr:colOff>
      <xdr:row>38</xdr:row>
      <xdr:rowOff>142875</xdr:rowOff>
    </xdr:to>
    <xdr:sp macro="" textlink="">
      <xdr:nvSpPr>
        <xdr:cNvPr id="90405" name="Line 17"/>
        <xdr:cNvSpPr>
          <a:spLocks noChangeShapeType="1"/>
        </xdr:cNvSpPr>
      </xdr:nvSpPr>
      <xdr:spPr bwMode="auto">
        <a:xfrm>
          <a:off x="6276975" y="6791325"/>
          <a:ext cx="270510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971550</xdr:colOff>
      <xdr:row>37</xdr:row>
      <xdr:rowOff>38100</xdr:rowOff>
    </xdr:from>
    <xdr:to>
      <xdr:col>8</xdr:col>
      <xdr:colOff>390525</xdr:colOff>
      <xdr:row>40</xdr:row>
      <xdr:rowOff>133350</xdr:rowOff>
    </xdr:to>
    <xdr:sp macro="" textlink="">
      <xdr:nvSpPr>
        <xdr:cNvPr id="90406" name="AutoShape 18"/>
        <xdr:cNvSpPr>
          <a:spLocks noChangeArrowheads="1"/>
        </xdr:cNvSpPr>
      </xdr:nvSpPr>
      <xdr:spPr bwMode="auto">
        <a:xfrm rot="16200000" flipH="1">
          <a:off x="5343525" y="6219825"/>
          <a:ext cx="609600" cy="11620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46</xdr:row>
      <xdr:rowOff>142875</xdr:rowOff>
    </xdr:from>
    <xdr:to>
      <xdr:col>6</xdr:col>
      <xdr:colOff>962025</xdr:colOff>
      <xdr:row>46</xdr:row>
      <xdr:rowOff>142875</xdr:rowOff>
    </xdr:to>
    <xdr:sp macro="" textlink="">
      <xdr:nvSpPr>
        <xdr:cNvPr id="90407" name="Line 19"/>
        <xdr:cNvSpPr>
          <a:spLocks noChangeShapeType="1"/>
        </xdr:cNvSpPr>
      </xdr:nvSpPr>
      <xdr:spPr bwMode="auto">
        <a:xfrm>
          <a:off x="2495550" y="8191500"/>
          <a:ext cx="2562225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46</xdr:row>
      <xdr:rowOff>142875</xdr:rowOff>
    </xdr:from>
    <xdr:to>
      <xdr:col>12</xdr:col>
      <xdr:colOff>76200</xdr:colOff>
      <xdr:row>46</xdr:row>
      <xdr:rowOff>142875</xdr:rowOff>
    </xdr:to>
    <xdr:sp macro="" textlink="">
      <xdr:nvSpPr>
        <xdr:cNvPr id="90408" name="Line 20"/>
        <xdr:cNvSpPr>
          <a:spLocks noChangeShapeType="1"/>
        </xdr:cNvSpPr>
      </xdr:nvSpPr>
      <xdr:spPr bwMode="auto">
        <a:xfrm>
          <a:off x="6276975" y="8191500"/>
          <a:ext cx="2705100" cy="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971550</xdr:colOff>
      <xdr:row>45</xdr:row>
      <xdr:rowOff>38100</xdr:rowOff>
    </xdr:from>
    <xdr:to>
      <xdr:col>8</xdr:col>
      <xdr:colOff>390525</xdr:colOff>
      <xdr:row>48</xdr:row>
      <xdr:rowOff>133350</xdr:rowOff>
    </xdr:to>
    <xdr:sp macro="" textlink="">
      <xdr:nvSpPr>
        <xdr:cNvPr id="90409" name="AutoShape 21"/>
        <xdr:cNvSpPr>
          <a:spLocks noChangeArrowheads="1"/>
        </xdr:cNvSpPr>
      </xdr:nvSpPr>
      <xdr:spPr bwMode="auto">
        <a:xfrm rot="16200000" flipH="1">
          <a:off x="5343525" y="7620000"/>
          <a:ext cx="609600" cy="116205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48</xdr:row>
      <xdr:rowOff>123825</xdr:rowOff>
    </xdr:from>
    <xdr:to>
      <xdr:col>19</xdr:col>
      <xdr:colOff>209550</xdr:colOff>
      <xdr:row>60</xdr:row>
      <xdr:rowOff>171450</xdr:rowOff>
    </xdr:to>
    <xdr:sp macro="" textlink="">
      <xdr:nvSpPr>
        <xdr:cNvPr id="263878" name="Rectangle 69"/>
        <xdr:cNvSpPr>
          <a:spLocks noChangeArrowheads="1"/>
        </xdr:cNvSpPr>
      </xdr:nvSpPr>
      <xdr:spPr bwMode="auto">
        <a:xfrm>
          <a:off x="7924800" y="9277350"/>
          <a:ext cx="5248275" cy="2333625"/>
        </a:xfrm>
        <a:prstGeom prst="rect">
          <a:avLst/>
        </a:prstGeom>
        <a:noFill/>
        <a:ln w="9525">
          <a:solidFill>
            <a:srgbClr val="FF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263879" name="Group 1"/>
        <xdr:cNvGrpSpPr>
          <a:grpSpLocks/>
        </xdr:cNvGrpSpPr>
      </xdr:nvGrpSpPr>
      <xdr:grpSpPr bwMode="auto">
        <a:xfrm>
          <a:off x="246289" y="194582"/>
          <a:ext cx="842282" cy="406854"/>
          <a:chOff x="2448" y="3888"/>
          <a:chExt cx="1815" cy="540"/>
        </a:xfrm>
      </xdr:grpSpPr>
      <xdr:pic>
        <xdr:nvPicPr>
          <xdr:cNvPr id="263951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7043" name="WordArt 3"/>
          <xdr:cNvSpPr>
            <a:spLocks noChangeAspect="1" noChangeArrowheads="1" noChangeShapeType="1" noTextEdit="1"/>
          </xdr:cNvSpPr>
        </xdr:nvSpPr>
        <xdr:spPr bwMode="auto">
          <a:xfrm>
            <a:off x="3129" y="4364"/>
            <a:ext cx="1134" cy="51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  <xdr:twoCellAnchor>
    <xdr:from>
      <xdr:col>9</xdr:col>
      <xdr:colOff>342900</xdr:colOff>
      <xdr:row>54</xdr:row>
      <xdr:rowOff>152400</xdr:rowOff>
    </xdr:from>
    <xdr:to>
      <xdr:col>11</xdr:col>
      <xdr:colOff>228600</xdr:colOff>
      <xdr:row>59</xdr:row>
      <xdr:rowOff>0</xdr:rowOff>
    </xdr:to>
    <xdr:grpSp>
      <xdr:nvGrpSpPr>
        <xdr:cNvPr id="263880" name="Group 4"/>
        <xdr:cNvGrpSpPr>
          <a:grpSpLocks/>
        </xdr:cNvGrpSpPr>
      </xdr:nvGrpSpPr>
      <xdr:grpSpPr bwMode="auto">
        <a:xfrm flipH="1">
          <a:off x="3486150" y="10480221"/>
          <a:ext cx="2430236" cy="800100"/>
          <a:chOff x="839" y="4264"/>
          <a:chExt cx="637" cy="271"/>
        </a:xfrm>
      </xdr:grpSpPr>
      <xdr:grpSp>
        <xdr:nvGrpSpPr>
          <xdr:cNvPr id="263940" name="Group 5"/>
          <xdr:cNvGrpSpPr>
            <a:grpSpLocks/>
          </xdr:cNvGrpSpPr>
        </xdr:nvGrpSpPr>
        <xdr:grpSpPr bwMode="auto">
          <a:xfrm>
            <a:off x="965" y="4264"/>
            <a:ext cx="511" cy="162"/>
            <a:chOff x="2336" y="3500"/>
            <a:chExt cx="1120" cy="288"/>
          </a:xfrm>
        </xdr:grpSpPr>
        <xdr:sp macro="" textlink="">
          <xdr:nvSpPr>
            <xdr:cNvPr id="263947" name="AutoShape 6"/>
            <xdr:cNvSpPr>
              <a:spLocks noChangeArrowheads="1"/>
            </xdr:cNvSpPr>
          </xdr:nvSpPr>
          <xdr:spPr bwMode="auto">
            <a:xfrm>
              <a:off x="2336" y="3500"/>
              <a:ext cx="1120" cy="288"/>
            </a:xfrm>
            <a:prstGeom prst="roundRect">
              <a:avLst>
                <a:gd name="adj" fmla="val 16667"/>
              </a:avLst>
            </a:prstGeom>
            <a:gradFill rotWithShape="1">
              <a:gsLst>
                <a:gs pos="0">
                  <a:srgbClr val="B2B2FF">
                    <a:alpha val="35999"/>
                  </a:srgbClr>
                </a:gs>
                <a:gs pos="100000">
                  <a:srgbClr val="0000FF"/>
                </a:gs>
              </a:gsLst>
              <a:lin ang="5400000" scaled="1"/>
            </a:gradFill>
            <a:ln w="28575" algn="ctr">
              <a:solidFill>
                <a:srgbClr val="000000"/>
              </a:solidFill>
              <a:round/>
              <a:headEnd/>
              <a:tailEnd/>
            </a:ln>
          </xdr:spPr>
        </xdr:sp>
        <xdr:grpSp>
          <xdr:nvGrpSpPr>
            <xdr:cNvPr id="263948" name="Group 7"/>
            <xdr:cNvGrpSpPr>
              <a:grpSpLocks/>
            </xdr:cNvGrpSpPr>
          </xdr:nvGrpSpPr>
          <xdr:grpSpPr bwMode="auto">
            <a:xfrm>
              <a:off x="2336" y="3692"/>
              <a:ext cx="1120" cy="56"/>
              <a:chOff x="864" y="3264"/>
              <a:chExt cx="1008" cy="64"/>
            </a:xfrm>
          </xdr:grpSpPr>
          <xdr:sp macro="" textlink="">
            <xdr:nvSpPr>
              <xdr:cNvPr id="263949" name="Freeform 8"/>
              <xdr:cNvSpPr>
                <a:spLocks/>
              </xdr:cNvSpPr>
            </xdr:nvSpPr>
            <xdr:spPr bwMode="auto">
              <a:xfrm>
                <a:off x="864" y="3264"/>
                <a:ext cx="528" cy="64"/>
              </a:xfrm>
              <a:custGeom>
                <a:avLst/>
                <a:gdLst>
                  <a:gd name="T0" fmla="*/ 0 w 528"/>
                  <a:gd name="T1" fmla="*/ 56 h 64"/>
                  <a:gd name="T2" fmla="*/ 48 w 528"/>
                  <a:gd name="T3" fmla="*/ 56 h 64"/>
                  <a:gd name="T4" fmla="*/ 96 w 528"/>
                  <a:gd name="T5" fmla="*/ 8 h 64"/>
                  <a:gd name="T6" fmla="*/ 192 w 528"/>
                  <a:gd name="T7" fmla="*/ 56 h 64"/>
                  <a:gd name="T8" fmla="*/ 288 w 528"/>
                  <a:gd name="T9" fmla="*/ 8 h 64"/>
                  <a:gd name="T10" fmla="*/ 384 w 528"/>
                  <a:gd name="T11" fmla="*/ 56 h 64"/>
                  <a:gd name="T12" fmla="*/ 480 w 528"/>
                  <a:gd name="T13" fmla="*/ 8 h 64"/>
                  <a:gd name="T14" fmla="*/ 528 w 528"/>
                  <a:gd name="T15" fmla="*/ 8 h 64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528"/>
                  <a:gd name="T25" fmla="*/ 0 h 64"/>
                  <a:gd name="T26" fmla="*/ 528 w 528"/>
                  <a:gd name="T27" fmla="*/ 64 h 64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528" h="64">
                    <a:moveTo>
                      <a:pt x="0" y="56"/>
                    </a:moveTo>
                    <a:cubicBezTo>
                      <a:pt x="16" y="60"/>
                      <a:pt x="32" y="64"/>
                      <a:pt x="48" y="56"/>
                    </a:cubicBezTo>
                    <a:cubicBezTo>
                      <a:pt x="64" y="48"/>
                      <a:pt x="72" y="8"/>
                      <a:pt x="96" y="8"/>
                    </a:cubicBezTo>
                    <a:cubicBezTo>
                      <a:pt x="120" y="8"/>
                      <a:pt x="160" y="56"/>
                      <a:pt x="192" y="56"/>
                    </a:cubicBezTo>
                    <a:cubicBezTo>
                      <a:pt x="224" y="56"/>
                      <a:pt x="256" y="8"/>
                      <a:pt x="288" y="8"/>
                    </a:cubicBezTo>
                    <a:cubicBezTo>
                      <a:pt x="320" y="8"/>
                      <a:pt x="352" y="56"/>
                      <a:pt x="384" y="56"/>
                    </a:cubicBezTo>
                    <a:cubicBezTo>
                      <a:pt x="416" y="56"/>
                      <a:pt x="456" y="16"/>
                      <a:pt x="480" y="8"/>
                    </a:cubicBezTo>
                    <a:cubicBezTo>
                      <a:pt x="504" y="0"/>
                      <a:pt x="516" y="4"/>
                      <a:pt x="528" y="8"/>
                    </a:cubicBezTo>
                  </a:path>
                </a:pathLst>
              </a:custGeom>
              <a:gradFill rotWithShape="1">
                <a:gsLst>
                  <a:gs pos="0">
                    <a:srgbClr val="B2B2FF">
                      <a:alpha val="35999"/>
                    </a:srgbClr>
                  </a:gs>
                  <a:gs pos="100000">
                    <a:srgbClr val="0000FF"/>
                  </a:gs>
                </a:gsLst>
                <a:lin ang="5400000" scaled="1"/>
              </a:gradFill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63950" name="Freeform 9"/>
              <xdr:cNvSpPr>
                <a:spLocks/>
              </xdr:cNvSpPr>
            </xdr:nvSpPr>
            <xdr:spPr bwMode="auto">
              <a:xfrm flipH="1">
                <a:off x="1344" y="3264"/>
                <a:ext cx="528" cy="64"/>
              </a:xfrm>
              <a:custGeom>
                <a:avLst/>
                <a:gdLst>
                  <a:gd name="T0" fmla="*/ 0 w 528"/>
                  <a:gd name="T1" fmla="*/ 56 h 64"/>
                  <a:gd name="T2" fmla="*/ 48 w 528"/>
                  <a:gd name="T3" fmla="*/ 56 h 64"/>
                  <a:gd name="T4" fmla="*/ 96 w 528"/>
                  <a:gd name="T5" fmla="*/ 8 h 64"/>
                  <a:gd name="T6" fmla="*/ 192 w 528"/>
                  <a:gd name="T7" fmla="*/ 56 h 64"/>
                  <a:gd name="T8" fmla="*/ 288 w 528"/>
                  <a:gd name="T9" fmla="*/ 8 h 64"/>
                  <a:gd name="T10" fmla="*/ 384 w 528"/>
                  <a:gd name="T11" fmla="*/ 56 h 64"/>
                  <a:gd name="T12" fmla="*/ 480 w 528"/>
                  <a:gd name="T13" fmla="*/ 8 h 64"/>
                  <a:gd name="T14" fmla="*/ 528 w 528"/>
                  <a:gd name="T15" fmla="*/ 8 h 64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528"/>
                  <a:gd name="T25" fmla="*/ 0 h 64"/>
                  <a:gd name="T26" fmla="*/ 528 w 528"/>
                  <a:gd name="T27" fmla="*/ 64 h 64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528" h="64">
                    <a:moveTo>
                      <a:pt x="0" y="56"/>
                    </a:moveTo>
                    <a:cubicBezTo>
                      <a:pt x="16" y="60"/>
                      <a:pt x="32" y="64"/>
                      <a:pt x="48" y="56"/>
                    </a:cubicBezTo>
                    <a:cubicBezTo>
                      <a:pt x="64" y="48"/>
                      <a:pt x="72" y="8"/>
                      <a:pt x="96" y="8"/>
                    </a:cubicBezTo>
                    <a:cubicBezTo>
                      <a:pt x="120" y="8"/>
                      <a:pt x="160" y="56"/>
                      <a:pt x="192" y="56"/>
                    </a:cubicBezTo>
                    <a:cubicBezTo>
                      <a:pt x="224" y="56"/>
                      <a:pt x="256" y="8"/>
                      <a:pt x="288" y="8"/>
                    </a:cubicBezTo>
                    <a:cubicBezTo>
                      <a:pt x="320" y="8"/>
                      <a:pt x="352" y="56"/>
                      <a:pt x="384" y="56"/>
                    </a:cubicBezTo>
                    <a:cubicBezTo>
                      <a:pt x="416" y="56"/>
                      <a:pt x="456" y="16"/>
                      <a:pt x="480" y="8"/>
                    </a:cubicBezTo>
                    <a:cubicBezTo>
                      <a:pt x="504" y="0"/>
                      <a:pt x="516" y="4"/>
                      <a:pt x="528" y="8"/>
                    </a:cubicBezTo>
                  </a:path>
                </a:pathLst>
              </a:custGeom>
              <a:gradFill rotWithShape="1">
                <a:gsLst>
                  <a:gs pos="0">
                    <a:srgbClr val="B2B2FF">
                      <a:alpha val="35999"/>
                    </a:srgbClr>
                  </a:gs>
                  <a:gs pos="100000">
                    <a:srgbClr val="0000FF"/>
                  </a:gs>
                </a:gsLst>
                <a:lin ang="5400000" scaled="1"/>
              </a:gradFill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</xdr:sp>
        </xdr:grpSp>
      </xdr:grpSp>
      <xdr:sp macro="" textlink="">
        <xdr:nvSpPr>
          <xdr:cNvPr id="263941" name="Oval 10"/>
          <xdr:cNvSpPr>
            <a:spLocks noChangeArrowheads="1"/>
          </xdr:cNvSpPr>
        </xdr:nvSpPr>
        <xdr:spPr bwMode="auto">
          <a:xfrm>
            <a:off x="1325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42" name="Oval 11"/>
          <xdr:cNvSpPr>
            <a:spLocks noChangeArrowheads="1"/>
          </xdr:cNvSpPr>
        </xdr:nvSpPr>
        <xdr:spPr bwMode="auto">
          <a:xfrm>
            <a:off x="1397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43" name="Rectangle 12"/>
          <xdr:cNvSpPr>
            <a:spLocks noChangeArrowheads="1"/>
          </xdr:cNvSpPr>
        </xdr:nvSpPr>
        <xdr:spPr bwMode="auto">
          <a:xfrm>
            <a:off x="839" y="4264"/>
            <a:ext cx="108" cy="162"/>
          </a:xfrm>
          <a:prstGeom prst="rect">
            <a:avLst/>
          </a:prstGeom>
          <a:noFill/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3944" name="Oval 13"/>
          <xdr:cNvSpPr>
            <a:spLocks noChangeArrowheads="1"/>
          </xdr:cNvSpPr>
        </xdr:nvSpPr>
        <xdr:spPr bwMode="auto">
          <a:xfrm>
            <a:off x="839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45" name="Rectangle 14"/>
          <xdr:cNvSpPr>
            <a:spLocks noChangeArrowheads="1"/>
          </xdr:cNvSpPr>
        </xdr:nvSpPr>
        <xdr:spPr bwMode="auto">
          <a:xfrm>
            <a:off x="839" y="4426"/>
            <a:ext cx="180" cy="28"/>
          </a:xfrm>
          <a:prstGeom prst="rect">
            <a:avLst/>
          </a:prstGeom>
          <a:noFill/>
          <a:ln w="2857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3946" name="Oval 15"/>
          <xdr:cNvSpPr>
            <a:spLocks noChangeArrowheads="1"/>
          </xdr:cNvSpPr>
        </xdr:nvSpPr>
        <xdr:spPr bwMode="auto">
          <a:xfrm>
            <a:off x="965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152400</xdr:colOff>
      <xdr:row>44</xdr:row>
      <xdr:rowOff>85725</xdr:rowOff>
    </xdr:from>
    <xdr:to>
      <xdr:col>9</xdr:col>
      <xdr:colOff>685800</xdr:colOff>
      <xdr:row>48</xdr:row>
      <xdr:rowOff>66675</xdr:rowOff>
    </xdr:to>
    <xdr:grpSp>
      <xdr:nvGrpSpPr>
        <xdr:cNvPr id="263881" name="Group 16"/>
        <xdr:cNvGrpSpPr>
          <a:grpSpLocks/>
        </xdr:cNvGrpSpPr>
      </xdr:nvGrpSpPr>
      <xdr:grpSpPr bwMode="auto">
        <a:xfrm>
          <a:off x="1635579" y="8508546"/>
          <a:ext cx="2193471" cy="742950"/>
          <a:chOff x="1227" y="0"/>
          <a:chExt cx="1769" cy="681"/>
        </a:xfrm>
      </xdr:grpSpPr>
      <xdr:sp macro="" textlink="">
        <xdr:nvSpPr>
          <xdr:cNvPr id="263926" name="Arc 17"/>
          <xdr:cNvSpPr>
            <a:spLocks/>
          </xdr:cNvSpPr>
        </xdr:nvSpPr>
        <xdr:spPr bwMode="auto">
          <a:xfrm flipV="1">
            <a:off x="2875" y="0"/>
            <a:ext cx="121" cy="681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27" name="Line 18"/>
          <xdr:cNvSpPr>
            <a:spLocks noChangeShapeType="1"/>
          </xdr:cNvSpPr>
        </xdr:nvSpPr>
        <xdr:spPr bwMode="auto">
          <a:xfrm flipH="1" flipV="1">
            <a:off x="1338" y="681"/>
            <a:ext cx="15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28" name="Arc 19"/>
          <xdr:cNvSpPr>
            <a:spLocks/>
          </xdr:cNvSpPr>
        </xdr:nvSpPr>
        <xdr:spPr bwMode="auto">
          <a:xfrm rot="10800000" flipV="1">
            <a:off x="1227" y="0"/>
            <a:ext cx="121" cy="681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29" name="Line 20"/>
          <xdr:cNvSpPr>
            <a:spLocks noChangeShapeType="1"/>
          </xdr:cNvSpPr>
        </xdr:nvSpPr>
        <xdr:spPr bwMode="auto">
          <a:xfrm flipH="1" flipV="1">
            <a:off x="1348" y="0"/>
            <a:ext cx="152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30" name="Rectangle 21"/>
          <xdr:cNvSpPr>
            <a:spLocks noChangeArrowheads="1"/>
          </xdr:cNvSpPr>
        </xdr:nvSpPr>
        <xdr:spPr bwMode="auto">
          <a:xfrm flipV="1">
            <a:off x="2870" y="148"/>
            <a:ext cx="124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31" name="Rectangle 22"/>
          <xdr:cNvSpPr>
            <a:spLocks noChangeArrowheads="1"/>
          </xdr:cNvSpPr>
        </xdr:nvSpPr>
        <xdr:spPr bwMode="auto">
          <a:xfrm flipV="1">
            <a:off x="2870" y="505"/>
            <a:ext cx="124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32" name="Rectangle 23"/>
          <xdr:cNvSpPr>
            <a:spLocks noChangeArrowheads="1"/>
          </xdr:cNvSpPr>
        </xdr:nvSpPr>
        <xdr:spPr bwMode="auto">
          <a:xfrm flipV="1">
            <a:off x="1254" y="148"/>
            <a:ext cx="123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33" name="Rectangle 24"/>
          <xdr:cNvSpPr>
            <a:spLocks noChangeArrowheads="1"/>
          </xdr:cNvSpPr>
        </xdr:nvSpPr>
        <xdr:spPr bwMode="auto">
          <a:xfrm flipV="1">
            <a:off x="1254" y="505"/>
            <a:ext cx="123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34" name="Arc 25"/>
          <xdr:cNvSpPr>
            <a:spLocks/>
          </xdr:cNvSpPr>
        </xdr:nvSpPr>
        <xdr:spPr bwMode="auto">
          <a:xfrm flipV="1">
            <a:off x="2802" y="64"/>
            <a:ext cx="108" cy="564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gradFill rotWithShape="1">
            <a:gsLst>
              <a:gs pos="0">
                <a:srgbClr val="0000FF"/>
              </a:gs>
              <a:gs pos="100000">
                <a:srgbClr val="B2B2FF">
                  <a:alpha val="35999"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35" name="Line 26"/>
          <xdr:cNvSpPr>
            <a:spLocks noChangeShapeType="1"/>
          </xdr:cNvSpPr>
        </xdr:nvSpPr>
        <xdr:spPr bwMode="auto">
          <a:xfrm flipH="1" flipV="1">
            <a:off x="1424" y="628"/>
            <a:ext cx="13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36" name="Arc 27"/>
          <xdr:cNvSpPr>
            <a:spLocks/>
          </xdr:cNvSpPr>
        </xdr:nvSpPr>
        <xdr:spPr bwMode="auto">
          <a:xfrm rot="10800000" flipV="1">
            <a:off x="1315" y="64"/>
            <a:ext cx="109" cy="564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gradFill rotWithShape="1">
            <a:gsLst>
              <a:gs pos="0">
                <a:srgbClr val="B2B2FF">
                  <a:alpha val="35999"/>
                </a:srgbClr>
              </a:gs>
              <a:gs pos="100000">
                <a:srgbClr val="0000F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37" name="Line 28"/>
          <xdr:cNvSpPr>
            <a:spLocks noChangeShapeType="1"/>
          </xdr:cNvSpPr>
        </xdr:nvSpPr>
        <xdr:spPr bwMode="auto">
          <a:xfrm flipH="1" flipV="1">
            <a:off x="1424" y="64"/>
            <a:ext cx="13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38" name="Rectangle 29"/>
          <xdr:cNvSpPr>
            <a:spLocks noChangeArrowheads="1"/>
          </xdr:cNvSpPr>
        </xdr:nvSpPr>
        <xdr:spPr bwMode="auto">
          <a:xfrm>
            <a:off x="1417" y="60"/>
            <a:ext cx="1393" cy="564"/>
          </a:xfrm>
          <a:prstGeom prst="rect">
            <a:avLst/>
          </a:prstGeom>
          <a:gradFill rotWithShape="1">
            <a:gsLst>
              <a:gs pos="0">
                <a:srgbClr val="B2B2FF">
                  <a:alpha val="35999"/>
                </a:srgbClr>
              </a:gs>
              <a:gs pos="100000">
                <a:srgbClr val="0000FF"/>
              </a:gs>
            </a:gsLst>
            <a:lin ang="5400000" scaled="1"/>
          </a:gradFill>
          <a:ln w="28575" algn="ctr">
            <a:noFill/>
            <a:miter lim="800000"/>
            <a:headEnd/>
            <a:tailEnd/>
          </a:ln>
        </xdr:spPr>
      </xdr:sp>
      <xdr:sp macro="" textlink="">
        <xdr:nvSpPr>
          <xdr:cNvPr id="263939" name="Rectangle 30"/>
          <xdr:cNvSpPr>
            <a:spLocks noChangeArrowheads="1"/>
          </xdr:cNvSpPr>
        </xdr:nvSpPr>
        <xdr:spPr bwMode="auto">
          <a:xfrm>
            <a:off x="1375" y="511"/>
            <a:ext cx="136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314325</xdr:colOff>
      <xdr:row>47</xdr:row>
      <xdr:rowOff>152400</xdr:rowOff>
    </xdr:from>
    <xdr:to>
      <xdr:col>8</xdr:col>
      <xdr:colOff>571500</xdr:colOff>
      <xdr:row>56</xdr:row>
      <xdr:rowOff>161925</xdr:rowOff>
    </xdr:to>
    <xdr:cxnSp macro="">
      <xdr:nvCxnSpPr>
        <xdr:cNvPr id="263882" name="AutoShape 31"/>
        <xdr:cNvCxnSpPr>
          <a:cxnSpLocks noChangeShapeType="1"/>
          <a:stCxn id="263939" idx="1"/>
          <a:endCxn id="263885" idx="0"/>
        </xdr:cNvCxnSpPr>
      </xdr:nvCxnSpPr>
      <xdr:spPr bwMode="auto">
        <a:xfrm rot="10800000" flipH="1" flipV="1">
          <a:off x="1800225" y="9115425"/>
          <a:ext cx="962025" cy="1724025"/>
        </a:xfrm>
        <a:prstGeom prst="bentConnector3">
          <a:avLst>
            <a:gd name="adj1" fmla="val -32000"/>
          </a:avLst>
        </a:prstGeom>
        <a:noFill/>
        <a:ln w="57150">
          <a:solidFill>
            <a:srgbClr val="FF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11</xdr:col>
      <xdr:colOff>866775</xdr:colOff>
      <xdr:row>51</xdr:row>
      <xdr:rowOff>9525</xdr:rowOff>
    </xdr:from>
    <xdr:to>
      <xdr:col>11</xdr:col>
      <xdr:colOff>1076325</xdr:colOff>
      <xdr:row>52</xdr:row>
      <xdr:rowOff>28575</xdr:rowOff>
    </xdr:to>
    <xdr:sp macro="" textlink="">
      <xdr:nvSpPr>
        <xdr:cNvPr id="263883" name="Rectangle 32"/>
        <xdr:cNvSpPr>
          <a:spLocks noChangeArrowheads="1"/>
        </xdr:cNvSpPr>
      </xdr:nvSpPr>
      <xdr:spPr bwMode="auto">
        <a:xfrm>
          <a:off x="6553200" y="9734550"/>
          <a:ext cx="2095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133350</xdr:colOff>
      <xdr:row>51</xdr:row>
      <xdr:rowOff>114300</xdr:rowOff>
    </xdr:from>
    <xdr:to>
      <xdr:col>11</xdr:col>
      <xdr:colOff>866775</xdr:colOff>
      <xdr:row>54</xdr:row>
      <xdr:rowOff>142875</xdr:rowOff>
    </xdr:to>
    <xdr:cxnSp macro="">
      <xdr:nvCxnSpPr>
        <xdr:cNvPr id="263884" name="AutoShape 33"/>
        <xdr:cNvCxnSpPr>
          <a:cxnSpLocks noChangeShapeType="1"/>
          <a:stCxn id="263947" idx="0"/>
          <a:endCxn id="263883" idx="1"/>
        </xdr:cNvCxnSpPr>
      </xdr:nvCxnSpPr>
      <xdr:spPr bwMode="auto">
        <a:xfrm rot="-5400000">
          <a:off x="5095875" y="8982075"/>
          <a:ext cx="600075" cy="2314575"/>
        </a:xfrm>
        <a:prstGeom prst="bentConnector2">
          <a:avLst/>
        </a:prstGeom>
        <a:noFill/>
        <a:ln w="38100">
          <a:solidFill>
            <a:srgbClr val="0000FF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8</xdr:col>
      <xdr:colOff>561975</xdr:colOff>
      <xdr:row>56</xdr:row>
      <xdr:rowOff>85725</xdr:rowOff>
    </xdr:from>
    <xdr:to>
      <xdr:col>8</xdr:col>
      <xdr:colOff>847725</xdr:colOff>
      <xdr:row>57</xdr:row>
      <xdr:rowOff>38100</xdr:rowOff>
    </xdr:to>
    <xdr:sp macro="" textlink="">
      <xdr:nvSpPr>
        <xdr:cNvPr id="263885" name="AutoShape 34"/>
        <xdr:cNvSpPr>
          <a:spLocks noChangeArrowheads="1"/>
        </xdr:cNvSpPr>
      </xdr:nvSpPr>
      <xdr:spPr bwMode="auto">
        <a:xfrm rot="5400000" flipH="1" flipV="1">
          <a:off x="2824162" y="10691813"/>
          <a:ext cx="142875" cy="285750"/>
        </a:xfrm>
        <a:prstGeom prst="flowChartCollate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857250</xdr:colOff>
      <xdr:row>56</xdr:row>
      <xdr:rowOff>161925</xdr:rowOff>
    </xdr:from>
    <xdr:to>
      <xdr:col>9</xdr:col>
      <xdr:colOff>400050</xdr:colOff>
      <xdr:row>56</xdr:row>
      <xdr:rowOff>171450</xdr:rowOff>
    </xdr:to>
    <xdr:cxnSp macro="">
      <xdr:nvCxnSpPr>
        <xdr:cNvPr id="263886" name="AutoShape 35"/>
        <xdr:cNvCxnSpPr>
          <a:cxnSpLocks noChangeShapeType="1"/>
          <a:stCxn id="263885" idx="2"/>
          <a:endCxn id="263950" idx="1"/>
        </xdr:cNvCxnSpPr>
      </xdr:nvCxnSpPr>
      <xdr:spPr bwMode="auto">
        <a:xfrm>
          <a:off x="3048000" y="10839450"/>
          <a:ext cx="495300" cy="9525"/>
        </a:xfrm>
        <a:prstGeom prst="bentConnector3">
          <a:avLst>
            <a:gd name="adj1" fmla="val 42306"/>
          </a:avLst>
        </a:prstGeom>
        <a:noFill/>
        <a:ln w="57150">
          <a:solidFill>
            <a:srgbClr val="FF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6</xdr:col>
      <xdr:colOff>133350</xdr:colOff>
      <xdr:row>48</xdr:row>
      <xdr:rowOff>123825</xdr:rowOff>
    </xdr:from>
    <xdr:to>
      <xdr:col>11</xdr:col>
      <xdr:colOff>590550</xdr:colOff>
      <xdr:row>60</xdr:row>
      <xdr:rowOff>171450</xdr:rowOff>
    </xdr:to>
    <xdr:sp macro="" textlink="">
      <xdr:nvSpPr>
        <xdr:cNvPr id="263887" name="Rectangle 36"/>
        <xdr:cNvSpPr>
          <a:spLocks noChangeArrowheads="1"/>
        </xdr:cNvSpPr>
      </xdr:nvSpPr>
      <xdr:spPr bwMode="auto">
        <a:xfrm>
          <a:off x="1219200" y="9277350"/>
          <a:ext cx="5057775" cy="2333625"/>
        </a:xfrm>
        <a:prstGeom prst="rect">
          <a:avLst/>
        </a:prstGeom>
        <a:noFill/>
        <a:ln w="9525">
          <a:solidFill>
            <a:srgbClr val="FF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15</xdr:col>
      <xdr:colOff>771525</xdr:colOff>
      <xdr:row>54</xdr:row>
      <xdr:rowOff>152400</xdr:rowOff>
    </xdr:from>
    <xdr:to>
      <xdr:col>18</xdr:col>
      <xdr:colOff>76200</xdr:colOff>
      <xdr:row>59</xdr:row>
      <xdr:rowOff>0</xdr:rowOff>
    </xdr:to>
    <xdr:grpSp>
      <xdr:nvGrpSpPr>
        <xdr:cNvPr id="263888" name="Group 37"/>
        <xdr:cNvGrpSpPr>
          <a:grpSpLocks/>
        </xdr:cNvGrpSpPr>
      </xdr:nvGrpSpPr>
      <xdr:grpSpPr bwMode="auto">
        <a:xfrm flipH="1">
          <a:off x="10201275" y="10480221"/>
          <a:ext cx="2162175" cy="800100"/>
          <a:chOff x="839" y="4264"/>
          <a:chExt cx="637" cy="271"/>
        </a:xfrm>
      </xdr:grpSpPr>
      <xdr:grpSp>
        <xdr:nvGrpSpPr>
          <xdr:cNvPr id="263915" name="Group 38"/>
          <xdr:cNvGrpSpPr>
            <a:grpSpLocks/>
          </xdr:cNvGrpSpPr>
        </xdr:nvGrpSpPr>
        <xdr:grpSpPr bwMode="auto">
          <a:xfrm>
            <a:off x="965" y="4264"/>
            <a:ext cx="511" cy="162"/>
            <a:chOff x="2336" y="3500"/>
            <a:chExt cx="1120" cy="288"/>
          </a:xfrm>
        </xdr:grpSpPr>
        <xdr:sp macro="" textlink="">
          <xdr:nvSpPr>
            <xdr:cNvPr id="263922" name="AutoShape 39"/>
            <xdr:cNvSpPr>
              <a:spLocks noChangeArrowheads="1"/>
            </xdr:cNvSpPr>
          </xdr:nvSpPr>
          <xdr:spPr bwMode="auto">
            <a:xfrm>
              <a:off x="2336" y="3500"/>
              <a:ext cx="1120" cy="288"/>
            </a:xfrm>
            <a:prstGeom prst="roundRect">
              <a:avLst>
                <a:gd name="adj" fmla="val 16667"/>
              </a:avLst>
            </a:prstGeom>
            <a:gradFill rotWithShape="1">
              <a:gsLst>
                <a:gs pos="0">
                  <a:srgbClr val="B2B2FF">
                    <a:alpha val="35999"/>
                  </a:srgbClr>
                </a:gs>
                <a:gs pos="100000">
                  <a:srgbClr val="0000FF"/>
                </a:gs>
              </a:gsLst>
              <a:lin ang="5400000" scaled="1"/>
            </a:gradFill>
            <a:ln w="28575" algn="ctr">
              <a:solidFill>
                <a:srgbClr val="000000"/>
              </a:solidFill>
              <a:round/>
              <a:headEnd/>
              <a:tailEnd/>
            </a:ln>
          </xdr:spPr>
        </xdr:sp>
        <xdr:grpSp>
          <xdr:nvGrpSpPr>
            <xdr:cNvPr id="263923" name="Group 40"/>
            <xdr:cNvGrpSpPr>
              <a:grpSpLocks/>
            </xdr:cNvGrpSpPr>
          </xdr:nvGrpSpPr>
          <xdr:grpSpPr bwMode="auto">
            <a:xfrm>
              <a:off x="2336" y="3692"/>
              <a:ext cx="1120" cy="56"/>
              <a:chOff x="864" y="3264"/>
              <a:chExt cx="1008" cy="64"/>
            </a:xfrm>
          </xdr:grpSpPr>
          <xdr:sp macro="" textlink="">
            <xdr:nvSpPr>
              <xdr:cNvPr id="263924" name="Freeform 41"/>
              <xdr:cNvSpPr>
                <a:spLocks/>
              </xdr:cNvSpPr>
            </xdr:nvSpPr>
            <xdr:spPr bwMode="auto">
              <a:xfrm>
                <a:off x="864" y="3264"/>
                <a:ext cx="528" cy="64"/>
              </a:xfrm>
              <a:custGeom>
                <a:avLst/>
                <a:gdLst>
                  <a:gd name="T0" fmla="*/ 0 w 528"/>
                  <a:gd name="T1" fmla="*/ 56 h 64"/>
                  <a:gd name="T2" fmla="*/ 48 w 528"/>
                  <a:gd name="T3" fmla="*/ 56 h 64"/>
                  <a:gd name="T4" fmla="*/ 96 w 528"/>
                  <a:gd name="T5" fmla="*/ 8 h 64"/>
                  <a:gd name="T6" fmla="*/ 192 w 528"/>
                  <a:gd name="T7" fmla="*/ 56 h 64"/>
                  <a:gd name="T8" fmla="*/ 288 w 528"/>
                  <a:gd name="T9" fmla="*/ 8 h 64"/>
                  <a:gd name="T10" fmla="*/ 384 w 528"/>
                  <a:gd name="T11" fmla="*/ 56 h 64"/>
                  <a:gd name="T12" fmla="*/ 480 w 528"/>
                  <a:gd name="T13" fmla="*/ 8 h 64"/>
                  <a:gd name="T14" fmla="*/ 528 w 528"/>
                  <a:gd name="T15" fmla="*/ 8 h 64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528"/>
                  <a:gd name="T25" fmla="*/ 0 h 64"/>
                  <a:gd name="T26" fmla="*/ 528 w 528"/>
                  <a:gd name="T27" fmla="*/ 64 h 64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528" h="64">
                    <a:moveTo>
                      <a:pt x="0" y="56"/>
                    </a:moveTo>
                    <a:cubicBezTo>
                      <a:pt x="16" y="60"/>
                      <a:pt x="32" y="64"/>
                      <a:pt x="48" y="56"/>
                    </a:cubicBezTo>
                    <a:cubicBezTo>
                      <a:pt x="64" y="48"/>
                      <a:pt x="72" y="8"/>
                      <a:pt x="96" y="8"/>
                    </a:cubicBezTo>
                    <a:cubicBezTo>
                      <a:pt x="120" y="8"/>
                      <a:pt x="160" y="56"/>
                      <a:pt x="192" y="56"/>
                    </a:cubicBezTo>
                    <a:cubicBezTo>
                      <a:pt x="224" y="56"/>
                      <a:pt x="256" y="8"/>
                      <a:pt x="288" y="8"/>
                    </a:cubicBezTo>
                    <a:cubicBezTo>
                      <a:pt x="320" y="8"/>
                      <a:pt x="352" y="56"/>
                      <a:pt x="384" y="56"/>
                    </a:cubicBezTo>
                    <a:cubicBezTo>
                      <a:pt x="416" y="56"/>
                      <a:pt x="456" y="16"/>
                      <a:pt x="480" y="8"/>
                    </a:cubicBezTo>
                    <a:cubicBezTo>
                      <a:pt x="504" y="0"/>
                      <a:pt x="516" y="4"/>
                      <a:pt x="528" y="8"/>
                    </a:cubicBezTo>
                  </a:path>
                </a:pathLst>
              </a:custGeom>
              <a:gradFill rotWithShape="1">
                <a:gsLst>
                  <a:gs pos="0">
                    <a:srgbClr val="B2B2FF">
                      <a:alpha val="35999"/>
                    </a:srgbClr>
                  </a:gs>
                  <a:gs pos="100000">
                    <a:srgbClr val="0000FF"/>
                  </a:gs>
                </a:gsLst>
                <a:lin ang="5400000" scaled="1"/>
              </a:gradFill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263925" name="Freeform 42"/>
              <xdr:cNvSpPr>
                <a:spLocks/>
              </xdr:cNvSpPr>
            </xdr:nvSpPr>
            <xdr:spPr bwMode="auto">
              <a:xfrm flipH="1">
                <a:off x="1344" y="3264"/>
                <a:ext cx="528" cy="64"/>
              </a:xfrm>
              <a:custGeom>
                <a:avLst/>
                <a:gdLst>
                  <a:gd name="T0" fmla="*/ 0 w 528"/>
                  <a:gd name="T1" fmla="*/ 56 h 64"/>
                  <a:gd name="T2" fmla="*/ 48 w 528"/>
                  <a:gd name="T3" fmla="*/ 56 h 64"/>
                  <a:gd name="T4" fmla="*/ 96 w 528"/>
                  <a:gd name="T5" fmla="*/ 8 h 64"/>
                  <a:gd name="T6" fmla="*/ 192 w 528"/>
                  <a:gd name="T7" fmla="*/ 56 h 64"/>
                  <a:gd name="T8" fmla="*/ 288 w 528"/>
                  <a:gd name="T9" fmla="*/ 8 h 64"/>
                  <a:gd name="T10" fmla="*/ 384 w 528"/>
                  <a:gd name="T11" fmla="*/ 56 h 64"/>
                  <a:gd name="T12" fmla="*/ 480 w 528"/>
                  <a:gd name="T13" fmla="*/ 8 h 64"/>
                  <a:gd name="T14" fmla="*/ 528 w 528"/>
                  <a:gd name="T15" fmla="*/ 8 h 64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528"/>
                  <a:gd name="T25" fmla="*/ 0 h 64"/>
                  <a:gd name="T26" fmla="*/ 528 w 528"/>
                  <a:gd name="T27" fmla="*/ 64 h 64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528" h="64">
                    <a:moveTo>
                      <a:pt x="0" y="56"/>
                    </a:moveTo>
                    <a:cubicBezTo>
                      <a:pt x="16" y="60"/>
                      <a:pt x="32" y="64"/>
                      <a:pt x="48" y="56"/>
                    </a:cubicBezTo>
                    <a:cubicBezTo>
                      <a:pt x="64" y="48"/>
                      <a:pt x="72" y="8"/>
                      <a:pt x="96" y="8"/>
                    </a:cubicBezTo>
                    <a:cubicBezTo>
                      <a:pt x="120" y="8"/>
                      <a:pt x="160" y="56"/>
                      <a:pt x="192" y="56"/>
                    </a:cubicBezTo>
                    <a:cubicBezTo>
                      <a:pt x="224" y="56"/>
                      <a:pt x="256" y="8"/>
                      <a:pt x="288" y="8"/>
                    </a:cubicBezTo>
                    <a:cubicBezTo>
                      <a:pt x="320" y="8"/>
                      <a:pt x="352" y="56"/>
                      <a:pt x="384" y="56"/>
                    </a:cubicBezTo>
                    <a:cubicBezTo>
                      <a:pt x="416" y="56"/>
                      <a:pt x="456" y="16"/>
                      <a:pt x="480" y="8"/>
                    </a:cubicBezTo>
                    <a:cubicBezTo>
                      <a:pt x="504" y="0"/>
                      <a:pt x="516" y="4"/>
                      <a:pt x="528" y="8"/>
                    </a:cubicBezTo>
                  </a:path>
                </a:pathLst>
              </a:custGeom>
              <a:gradFill rotWithShape="1">
                <a:gsLst>
                  <a:gs pos="0">
                    <a:srgbClr val="B2B2FF">
                      <a:alpha val="35999"/>
                    </a:srgbClr>
                  </a:gs>
                  <a:gs pos="100000">
                    <a:srgbClr val="0000FF"/>
                  </a:gs>
                </a:gsLst>
                <a:lin ang="5400000" scaled="1"/>
              </a:gradFill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</xdr:sp>
        </xdr:grpSp>
      </xdr:grpSp>
      <xdr:sp macro="" textlink="">
        <xdr:nvSpPr>
          <xdr:cNvPr id="263916" name="Oval 43"/>
          <xdr:cNvSpPr>
            <a:spLocks noChangeArrowheads="1"/>
          </xdr:cNvSpPr>
        </xdr:nvSpPr>
        <xdr:spPr bwMode="auto">
          <a:xfrm>
            <a:off x="1325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7" name="Oval 44"/>
          <xdr:cNvSpPr>
            <a:spLocks noChangeArrowheads="1"/>
          </xdr:cNvSpPr>
        </xdr:nvSpPr>
        <xdr:spPr bwMode="auto">
          <a:xfrm>
            <a:off x="1397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8" name="Rectangle 45"/>
          <xdr:cNvSpPr>
            <a:spLocks noChangeArrowheads="1"/>
          </xdr:cNvSpPr>
        </xdr:nvSpPr>
        <xdr:spPr bwMode="auto">
          <a:xfrm>
            <a:off x="839" y="4264"/>
            <a:ext cx="108" cy="162"/>
          </a:xfrm>
          <a:prstGeom prst="rect">
            <a:avLst/>
          </a:prstGeom>
          <a:noFill/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3919" name="Oval 46"/>
          <xdr:cNvSpPr>
            <a:spLocks noChangeArrowheads="1"/>
          </xdr:cNvSpPr>
        </xdr:nvSpPr>
        <xdr:spPr bwMode="auto">
          <a:xfrm>
            <a:off x="839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20" name="Rectangle 47"/>
          <xdr:cNvSpPr>
            <a:spLocks noChangeArrowheads="1"/>
          </xdr:cNvSpPr>
        </xdr:nvSpPr>
        <xdr:spPr bwMode="auto">
          <a:xfrm>
            <a:off x="839" y="4426"/>
            <a:ext cx="180" cy="28"/>
          </a:xfrm>
          <a:prstGeom prst="rect">
            <a:avLst/>
          </a:prstGeom>
          <a:noFill/>
          <a:ln w="2857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3921" name="Oval 48"/>
          <xdr:cNvSpPr>
            <a:spLocks noChangeArrowheads="1"/>
          </xdr:cNvSpPr>
        </xdr:nvSpPr>
        <xdr:spPr bwMode="auto">
          <a:xfrm>
            <a:off x="965" y="4454"/>
            <a:ext cx="54" cy="81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13</xdr:col>
      <xdr:colOff>609600</xdr:colOff>
      <xdr:row>44</xdr:row>
      <xdr:rowOff>85725</xdr:rowOff>
    </xdr:from>
    <xdr:to>
      <xdr:col>15</xdr:col>
      <xdr:colOff>1114425</xdr:colOff>
      <xdr:row>48</xdr:row>
      <xdr:rowOff>66675</xdr:rowOff>
    </xdr:to>
    <xdr:grpSp>
      <xdr:nvGrpSpPr>
        <xdr:cNvPr id="263889" name="Group 49"/>
        <xdr:cNvGrpSpPr>
          <a:grpSpLocks/>
        </xdr:cNvGrpSpPr>
      </xdr:nvGrpSpPr>
      <xdr:grpSpPr bwMode="auto">
        <a:xfrm>
          <a:off x="8352064" y="8508546"/>
          <a:ext cx="2192111" cy="742950"/>
          <a:chOff x="1227" y="0"/>
          <a:chExt cx="1769" cy="681"/>
        </a:xfrm>
      </xdr:grpSpPr>
      <xdr:sp macro="" textlink="">
        <xdr:nvSpPr>
          <xdr:cNvPr id="263901" name="Arc 50"/>
          <xdr:cNvSpPr>
            <a:spLocks/>
          </xdr:cNvSpPr>
        </xdr:nvSpPr>
        <xdr:spPr bwMode="auto">
          <a:xfrm flipV="1">
            <a:off x="2875" y="0"/>
            <a:ext cx="121" cy="681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02" name="Line 51"/>
          <xdr:cNvSpPr>
            <a:spLocks noChangeShapeType="1"/>
          </xdr:cNvSpPr>
        </xdr:nvSpPr>
        <xdr:spPr bwMode="auto">
          <a:xfrm flipH="1" flipV="1">
            <a:off x="1338" y="681"/>
            <a:ext cx="15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03" name="Arc 52"/>
          <xdr:cNvSpPr>
            <a:spLocks/>
          </xdr:cNvSpPr>
        </xdr:nvSpPr>
        <xdr:spPr bwMode="auto">
          <a:xfrm rot="10800000" flipV="1">
            <a:off x="1227" y="0"/>
            <a:ext cx="121" cy="681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04" name="Line 53"/>
          <xdr:cNvSpPr>
            <a:spLocks noChangeShapeType="1"/>
          </xdr:cNvSpPr>
        </xdr:nvSpPr>
        <xdr:spPr bwMode="auto">
          <a:xfrm flipH="1" flipV="1">
            <a:off x="1348" y="0"/>
            <a:ext cx="152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05" name="Rectangle 54"/>
          <xdr:cNvSpPr>
            <a:spLocks noChangeArrowheads="1"/>
          </xdr:cNvSpPr>
        </xdr:nvSpPr>
        <xdr:spPr bwMode="auto">
          <a:xfrm flipV="1">
            <a:off x="2870" y="148"/>
            <a:ext cx="124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06" name="Rectangle 55"/>
          <xdr:cNvSpPr>
            <a:spLocks noChangeArrowheads="1"/>
          </xdr:cNvSpPr>
        </xdr:nvSpPr>
        <xdr:spPr bwMode="auto">
          <a:xfrm flipV="1">
            <a:off x="2870" y="505"/>
            <a:ext cx="124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07" name="Rectangle 56"/>
          <xdr:cNvSpPr>
            <a:spLocks noChangeArrowheads="1"/>
          </xdr:cNvSpPr>
        </xdr:nvSpPr>
        <xdr:spPr bwMode="auto">
          <a:xfrm flipV="1">
            <a:off x="1254" y="148"/>
            <a:ext cx="123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08" name="Rectangle 57"/>
          <xdr:cNvSpPr>
            <a:spLocks noChangeArrowheads="1"/>
          </xdr:cNvSpPr>
        </xdr:nvSpPr>
        <xdr:spPr bwMode="auto">
          <a:xfrm flipV="1">
            <a:off x="1254" y="505"/>
            <a:ext cx="123" cy="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3909" name="Arc 58"/>
          <xdr:cNvSpPr>
            <a:spLocks/>
          </xdr:cNvSpPr>
        </xdr:nvSpPr>
        <xdr:spPr bwMode="auto">
          <a:xfrm flipV="1">
            <a:off x="2802" y="64"/>
            <a:ext cx="108" cy="564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gradFill rotWithShape="1">
            <a:gsLst>
              <a:gs pos="0">
                <a:srgbClr val="0000FF"/>
              </a:gs>
              <a:gs pos="100000">
                <a:srgbClr val="B2B2FF">
                  <a:alpha val="35999"/>
                </a:srgbClr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0" name="Line 59"/>
          <xdr:cNvSpPr>
            <a:spLocks noChangeShapeType="1"/>
          </xdr:cNvSpPr>
        </xdr:nvSpPr>
        <xdr:spPr bwMode="auto">
          <a:xfrm flipH="1" flipV="1">
            <a:off x="1424" y="628"/>
            <a:ext cx="13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1" name="Arc 60"/>
          <xdr:cNvSpPr>
            <a:spLocks/>
          </xdr:cNvSpPr>
        </xdr:nvSpPr>
        <xdr:spPr bwMode="auto">
          <a:xfrm rot="10800000" flipV="1">
            <a:off x="1315" y="64"/>
            <a:ext cx="109" cy="564"/>
          </a:xfrm>
          <a:custGeom>
            <a:avLst/>
            <a:gdLst>
              <a:gd name="T0" fmla="*/ 0 w 22587"/>
              <a:gd name="T1" fmla="*/ 0 h 43200"/>
              <a:gd name="T2" fmla="*/ 0 w 22587"/>
              <a:gd name="T3" fmla="*/ 0 h 43200"/>
              <a:gd name="T4" fmla="*/ 0 w 22587"/>
              <a:gd name="T5" fmla="*/ 0 h 43200"/>
              <a:gd name="T6" fmla="*/ 0 60000 65536"/>
              <a:gd name="T7" fmla="*/ 0 60000 65536"/>
              <a:gd name="T8" fmla="*/ 0 60000 65536"/>
              <a:gd name="T9" fmla="*/ 0 w 22587"/>
              <a:gd name="T10" fmla="*/ 0 h 43200"/>
              <a:gd name="T11" fmla="*/ 22587 w 22587"/>
              <a:gd name="T12" fmla="*/ 43200 h 432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2587" h="43200" fill="none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</a:path>
              <a:path w="22587" h="43200" stroke="0" extrusionOk="0">
                <a:moveTo>
                  <a:pt x="986" y="0"/>
                </a:moveTo>
                <a:cubicBezTo>
                  <a:pt x="12916" y="0"/>
                  <a:pt x="22587" y="9670"/>
                  <a:pt x="22587" y="21600"/>
                </a:cubicBezTo>
                <a:cubicBezTo>
                  <a:pt x="22587" y="33529"/>
                  <a:pt x="12916" y="43200"/>
                  <a:pt x="987" y="43200"/>
                </a:cubicBezTo>
                <a:cubicBezTo>
                  <a:pt x="657" y="43200"/>
                  <a:pt x="328" y="43192"/>
                  <a:pt x="-1" y="43177"/>
                </a:cubicBezTo>
                <a:lnTo>
                  <a:pt x="987" y="21600"/>
                </a:lnTo>
                <a:close/>
              </a:path>
            </a:pathLst>
          </a:custGeom>
          <a:gradFill rotWithShape="1">
            <a:gsLst>
              <a:gs pos="0">
                <a:srgbClr val="B2B2FF">
                  <a:alpha val="35999"/>
                </a:srgbClr>
              </a:gs>
              <a:gs pos="100000">
                <a:srgbClr val="0000F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2" name="Line 61"/>
          <xdr:cNvSpPr>
            <a:spLocks noChangeShapeType="1"/>
          </xdr:cNvSpPr>
        </xdr:nvSpPr>
        <xdr:spPr bwMode="auto">
          <a:xfrm flipH="1" flipV="1">
            <a:off x="1424" y="64"/>
            <a:ext cx="137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913" name="Rectangle 62"/>
          <xdr:cNvSpPr>
            <a:spLocks noChangeArrowheads="1"/>
          </xdr:cNvSpPr>
        </xdr:nvSpPr>
        <xdr:spPr bwMode="auto">
          <a:xfrm>
            <a:off x="1417" y="60"/>
            <a:ext cx="1393" cy="564"/>
          </a:xfrm>
          <a:prstGeom prst="rect">
            <a:avLst/>
          </a:prstGeom>
          <a:gradFill rotWithShape="1">
            <a:gsLst>
              <a:gs pos="0">
                <a:srgbClr val="B2B2FF">
                  <a:alpha val="35999"/>
                </a:srgbClr>
              </a:gs>
              <a:gs pos="100000">
                <a:srgbClr val="0000FF"/>
              </a:gs>
            </a:gsLst>
            <a:lin ang="5400000" scaled="1"/>
          </a:gradFill>
          <a:ln w="28575" algn="ctr">
            <a:noFill/>
            <a:miter lim="800000"/>
            <a:headEnd/>
            <a:tailEnd/>
          </a:ln>
        </xdr:spPr>
      </xdr:sp>
      <xdr:sp macro="" textlink="">
        <xdr:nvSpPr>
          <xdr:cNvPr id="263914" name="Rectangle 63"/>
          <xdr:cNvSpPr>
            <a:spLocks noChangeArrowheads="1"/>
          </xdr:cNvSpPr>
        </xdr:nvSpPr>
        <xdr:spPr bwMode="auto">
          <a:xfrm>
            <a:off x="1375" y="511"/>
            <a:ext cx="136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771525</xdr:colOff>
      <xdr:row>47</xdr:row>
      <xdr:rowOff>152400</xdr:rowOff>
    </xdr:from>
    <xdr:to>
      <xdr:col>15</xdr:col>
      <xdr:colOff>47625</xdr:colOff>
      <xdr:row>56</xdr:row>
      <xdr:rowOff>161925</xdr:rowOff>
    </xdr:to>
    <xdr:cxnSp macro="">
      <xdr:nvCxnSpPr>
        <xdr:cNvPr id="263890" name="AutoShape 64"/>
        <xdr:cNvCxnSpPr>
          <a:cxnSpLocks noChangeShapeType="1"/>
          <a:stCxn id="263914" idx="1"/>
          <a:endCxn id="263892" idx="0"/>
        </xdr:cNvCxnSpPr>
      </xdr:nvCxnSpPr>
      <xdr:spPr bwMode="auto">
        <a:xfrm rot="10800000" flipH="1" flipV="1">
          <a:off x="8505825" y="9115425"/>
          <a:ext cx="962025" cy="1724025"/>
        </a:xfrm>
        <a:prstGeom prst="bentConnector3">
          <a:avLst>
            <a:gd name="adj1" fmla="val -32000"/>
          </a:avLst>
        </a:prstGeom>
        <a:noFill/>
        <a:ln w="57150">
          <a:solidFill>
            <a:srgbClr val="FF0000"/>
          </a:solidFill>
          <a:miter lim="800000"/>
          <a:headEnd/>
          <a:tailEnd/>
        </a:ln>
      </xdr:spPr>
    </xdr:cxnSp>
    <xdr:clientData/>
  </xdr:twoCellAnchor>
  <xdr:twoCellAnchor>
    <xdr:from>
      <xdr:col>20</xdr:col>
      <xdr:colOff>142875</xdr:colOff>
      <xdr:row>51</xdr:row>
      <xdr:rowOff>9525</xdr:rowOff>
    </xdr:from>
    <xdr:to>
      <xdr:col>21</xdr:col>
      <xdr:colOff>19050</xdr:colOff>
      <xdr:row>52</xdr:row>
      <xdr:rowOff>28575</xdr:rowOff>
    </xdr:to>
    <xdr:sp macro="" textlink="">
      <xdr:nvSpPr>
        <xdr:cNvPr id="263891" name="Rectangle 65"/>
        <xdr:cNvSpPr>
          <a:spLocks noChangeArrowheads="1"/>
        </xdr:cNvSpPr>
      </xdr:nvSpPr>
      <xdr:spPr bwMode="auto">
        <a:xfrm>
          <a:off x="13439775" y="9734550"/>
          <a:ext cx="2095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56</xdr:row>
      <xdr:rowOff>85725</xdr:rowOff>
    </xdr:from>
    <xdr:to>
      <xdr:col>15</xdr:col>
      <xdr:colOff>323850</xdr:colOff>
      <xdr:row>57</xdr:row>
      <xdr:rowOff>38100</xdr:rowOff>
    </xdr:to>
    <xdr:sp macro="" textlink="">
      <xdr:nvSpPr>
        <xdr:cNvPr id="263892" name="AutoShape 67"/>
        <xdr:cNvSpPr>
          <a:spLocks noChangeArrowheads="1"/>
        </xdr:cNvSpPr>
      </xdr:nvSpPr>
      <xdr:spPr bwMode="auto">
        <a:xfrm rot="5400000" flipH="1" flipV="1">
          <a:off x="9529762" y="10691813"/>
          <a:ext cx="142875" cy="285750"/>
        </a:xfrm>
        <a:prstGeom prst="flowChartCollate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333375</xdr:colOff>
      <xdr:row>56</xdr:row>
      <xdr:rowOff>161925</xdr:rowOff>
    </xdr:from>
    <xdr:to>
      <xdr:col>15</xdr:col>
      <xdr:colOff>828675</xdr:colOff>
      <xdr:row>56</xdr:row>
      <xdr:rowOff>171450</xdr:rowOff>
    </xdr:to>
    <xdr:cxnSp macro="">
      <xdr:nvCxnSpPr>
        <xdr:cNvPr id="263893" name="AutoShape 68"/>
        <xdr:cNvCxnSpPr>
          <a:cxnSpLocks noChangeShapeType="1"/>
          <a:stCxn id="263892" idx="2"/>
          <a:endCxn id="263925" idx="1"/>
        </xdr:cNvCxnSpPr>
      </xdr:nvCxnSpPr>
      <xdr:spPr bwMode="auto">
        <a:xfrm>
          <a:off x="9753600" y="10839450"/>
          <a:ext cx="495300" cy="9525"/>
        </a:xfrm>
        <a:prstGeom prst="bentConnector3">
          <a:avLst>
            <a:gd name="adj1" fmla="val 42306"/>
          </a:avLst>
        </a:prstGeom>
        <a:noFill/>
        <a:ln w="57150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15</xdr:col>
      <xdr:colOff>47625</xdr:colOff>
      <xdr:row>51</xdr:row>
      <xdr:rowOff>114300</xdr:rowOff>
    </xdr:from>
    <xdr:to>
      <xdr:col>20</xdr:col>
      <xdr:colOff>142875</xdr:colOff>
      <xdr:row>56</xdr:row>
      <xdr:rowOff>161925</xdr:rowOff>
    </xdr:to>
    <xdr:cxnSp macro="">
      <xdr:nvCxnSpPr>
        <xdr:cNvPr id="263894" name="AutoShape 70"/>
        <xdr:cNvCxnSpPr>
          <a:cxnSpLocks noChangeShapeType="1"/>
          <a:stCxn id="263892" idx="0"/>
          <a:endCxn id="263891" idx="1"/>
        </xdr:cNvCxnSpPr>
      </xdr:nvCxnSpPr>
      <xdr:spPr bwMode="auto">
        <a:xfrm rot="10800000" flipH="1">
          <a:off x="9467850" y="9839325"/>
          <a:ext cx="3971925" cy="1000125"/>
        </a:xfrm>
        <a:prstGeom prst="bentConnector3">
          <a:avLst>
            <a:gd name="adj1" fmla="val -7398"/>
          </a:avLst>
        </a:prstGeom>
        <a:noFill/>
        <a:ln w="57150">
          <a:solidFill>
            <a:srgbClr val="FF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4</xdr:col>
      <xdr:colOff>76200</xdr:colOff>
      <xdr:row>45</xdr:row>
      <xdr:rowOff>9525</xdr:rowOff>
    </xdr:from>
    <xdr:to>
      <xdr:col>8</xdr:col>
      <xdr:colOff>171450</xdr:colOff>
      <xdr:row>48</xdr:row>
      <xdr:rowOff>123825</xdr:rowOff>
    </xdr:to>
    <xdr:sp macro="" textlink="">
      <xdr:nvSpPr>
        <xdr:cNvPr id="87112" name="Text Box 72"/>
        <xdr:cNvSpPr txBox="1">
          <a:spLocks noChangeArrowheads="1"/>
        </xdr:cNvSpPr>
      </xdr:nvSpPr>
      <xdr:spPr bwMode="auto">
        <a:xfrm>
          <a:off x="781050" y="8591550"/>
          <a:ext cx="1581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P ~1,2 b</a:t>
          </a:r>
        </a:p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T ~4,4 K</a:t>
          </a:r>
        </a:p>
      </xdr:txBody>
    </xdr:sp>
    <xdr:clientData/>
  </xdr:twoCellAnchor>
  <xdr:twoCellAnchor>
    <xdr:from>
      <xdr:col>10</xdr:col>
      <xdr:colOff>990600</xdr:colOff>
      <xdr:row>46</xdr:row>
      <xdr:rowOff>76200</xdr:rowOff>
    </xdr:from>
    <xdr:to>
      <xdr:col>11</xdr:col>
      <xdr:colOff>904875</xdr:colOff>
      <xdr:row>50</xdr:row>
      <xdr:rowOff>0</xdr:rowOff>
    </xdr:to>
    <xdr:sp macro="" textlink="">
      <xdr:nvSpPr>
        <xdr:cNvPr id="87113" name="Text Box 73"/>
        <xdr:cNvSpPr txBox="1">
          <a:spLocks noChangeArrowheads="1"/>
        </xdr:cNvSpPr>
      </xdr:nvSpPr>
      <xdr:spPr bwMode="auto">
        <a:xfrm>
          <a:off x="5095875" y="8848725"/>
          <a:ext cx="1495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P ~1,2 b</a:t>
          </a:r>
        </a:p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T ~30 K</a:t>
          </a:r>
        </a:p>
      </xdr:txBody>
    </xdr:sp>
    <xdr:clientData/>
  </xdr:twoCellAnchor>
  <xdr:twoCellAnchor>
    <xdr:from>
      <xdr:col>19</xdr:col>
      <xdr:colOff>266700</xdr:colOff>
      <xdr:row>47</xdr:row>
      <xdr:rowOff>152400</xdr:rowOff>
    </xdr:from>
    <xdr:to>
      <xdr:col>22</xdr:col>
      <xdr:colOff>200025</xdr:colOff>
      <xdr:row>51</xdr:row>
      <xdr:rowOff>76200</xdr:rowOff>
    </xdr:to>
    <xdr:sp macro="" textlink="">
      <xdr:nvSpPr>
        <xdr:cNvPr id="87114" name="Text Box 74"/>
        <xdr:cNvSpPr txBox="1">
          <a:spLocks noChangeArrowheads="1"/>
        </xdr:cNvSpPr>
      </xdr:nvSpPr>
      <xdr:spPr bwMode="auto">
        <a:xfrm>
          <a:off x="13230225" y="9115425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P ~1,2 b</a:t>
          </a:r>
        </a:p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T ~300 K</a:t>
          </a:r>
        </a:p>
      </xdr:txBody>
    </xdr:sp>
    <xdr:clientData/>
  </xdr:twoCellAnchor>
  <xdr:twoCellAnchor>
    <xdr:from>
      <xdr:col>13</xdr:col>
      <xdr:colOff>0</xdr:colOff>
      <xdr:row>43</xdr:row>
      <xdr:rowOff>19050</xdr:rowOff>
    </xdr:from>
    <xdr:to>
      <xdr:col>14</xdr:col>
      <xdr:colOff>523875</xdr:colOff>
      <xdr:row>46</xdr:row>
      <xdr:rowOff>133350</xdr:rowOff>
    </xdr:to>
    <xdr:sp macro="" textlink="">
      <xdr:nvSpPr>
        <xdr:cNvPr id="87115" name="Text Box 75"/>
        <xdr:cNvSpPr txBox="1">
          <a:spLocks noChangeArrowheads="1"/>
        </xdr:cNvSpPr>
      </xdr:nvSpPr>
      <xdr:spPr bwMode="auto">
        <a:xfrm>
          <a:off x="7734300" y="8220075"/>
          <a:ext cx="1581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P ~1,2 b</a:t>
          </a:r>
        </a:p>
        <a:p>
          <a:pPr algn="l" rtl="0">
            <a:defRPr sz="1000"/>
          </a:pPr>
          <a:r>
            <a:rPr lang="fr-FR" sz="1600" b="0" i="0" u="none" strike="noStrike" baseline="0">
              <a:solidFill>
                <a:srgbClr val="0000FF"/>
              </a:solidFill>
              <a:latin typeface="Arial"/>
              <a:cs typeface="Arial"/>
            </a:rPr>
            <a:t>T ~4,4 K</a:t>
          </a:r>
        </a:p>
      </xdr:txBody>
    </xdr:sp>
    <xdr:clientData/>
  </xdr:twoCellAnchor>
  <xdr:twoCellAnchor>
    <xdr:from>
      <xdr:col>7</xdr:col>
      <xdr:colOff>200025</xdr:colOff>
      <xdr:row>52</xdr:row>
      <xdr:rowOff>85725</xdr:rowOff>
    </xdr:from>
    <xdr:to>
      <xdr:col>8</xdr:col>
      <xdr:colOff>504825</xdr:colOff>
      <xdr:row>54</xdr:row>
      <xdr:rowOff>133350</xdr:rowOff>
    </xdr:to>
    <xdr:sp macro="" textlink="">
      <xdr:nvSpPr>
        <xdr:cNvPr id="263899" name="Line 80"/>
        <xdr:cNvSpPr>
          <a:spLocks noChangeShapeType="1"/>
        </xdr:cNvSpPr>
      </xdr:nvSpPr>
      <xdr:spPr bwMode="auto">
        <a:xfrm flipH="1">
          <a:off x="1685925" y="10001250"/>
          <a:ext cx="1009650" cy="4286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561975</xdr:colOff>
      <xdr:row>50</xdr:row>
      <xdr:rowOff>133350</xdr:rowOff>
    </xdr:from>
    <xdr:to>
      <xdr:col>9</xdr:col>
      <xdr:colOff>942975</xdr:colOff>
      <xdr:row>54</xdr:row>
      <xdr:rowOff>57150</xdr:rowOff>
    </xdr:to>
    <xdr:sp macro="" textlink="">
      <xdr:nvSpPr>
        <xdr:cNvPr id="87121" name="Text Box 81"/>
        <xdr:cNvSpPr txBox="1">
          <a:spLocks noChangeArrowheads="1"/>
        </xdr:cNvSpPr>
      </xdr:nvSpPr>
      <xdr:spPr bwMode="auto">
        <a:xfrm>
          <a:off x="2752725" y="9667875"/>
          <a:ext cx="1333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fr-FR" sz="1600" b="0" i="0" u="none" strike="noStrike" baseline="0">
              <a:solidFill>
                <a:srgbClr val="FF0000"/>
              </a:solidFill>
              <a:latin typeface="Arial"/>
              <a:cs typeface="Arial"/>
            </a:rPr>
            <a:t> ~24 kg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92</xdr:row>
      <xdr:rowOff>76200</xdr:rowOff>
    </xdr:from>
    <xdr:to>
      <xdr:col>10</xdr:col>
      <xdr:colOff>238125</xdr:colOff>
      <xdr:row>98</xdr:row>
      <xdr:rowOff>114300</xdr:rowOff>
    </xdr:to>
    <xdr:cxnSp macro="">
      <xdr:nvCxnSpPr>
        <xdr:cNvPr id="54029" name="AutoShape 2"/>
        <xdr:cNvCxnSpPr>
          <a:cxnSpLocks noChangeShapeType="1"/>
        </xdr:cNvCxnSpPr>
      </xdr:nvCxnSpPr>
      <xdr:spPr bwMode="auto">
        <a:xfrm flipV="1">
          <a:off x="6343650" y="13677900"/>
          <a:ext cx="1704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666750</xdr:colOff>
      <xdr:row>96</xdr:row>
      <xdr:rowOff>28575</xdr:rowOff>
    </xdr:from>
    <xdr:to>
      <xdr:col>11</xdr:col>
      <xdr:colOff>85725</xdr:colOff>
      <xdr:row>103</xdr:row>
      <xdr:rowOff>66675</xdr:rowOff>
    </xdr:to>
    <xdr:cxnSp macro="">
      <xdr:nvCxnSpPr>
        <xdr:cNvPr id="54030" name="AutoShape 3"/>
        <xdr:cNvCxnSpPr>
          <a:cxnSpLocks noChangeShapeType="1"/>
        </xdr:cNvCxnSpPr>
      </xdr:nvCxnSpPr>
      <xdr:spPr bwMode="auto">
        <a:xfrm flipV="1">
          <a:off x="6953250" y="13677900"/>
          <a:ext cx="17049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400050</xdr:colOff>
      <xdr:row>91</xdr:row>
      <xdr:rowOff>66675</xdr:rowOff>
    </xdr:from>
    <xdr:to>
      <xdr:col>7</xdr:col>
      <xdr:colOff>400050</xdr:colOff>
      <xdr:row>105</xdr:row>
      <xdr:rowOff>104775</xdr:rowOff>
    </xdr:to>
    <xdr:cxnSp macro="">
      <xdr:nvCxnSpPr>
        <xdr:cNvPr id="54031" name="AutoShape 4"/>
        <xdr:cNvCxnSpPr>
          <a:cxnSpLocks noChangeShapeType="1"/>
        </xdr:cNvCxnSpPr>
      </xdr:nvCxnSpPr>
      <xdr:spPr bwMode="auto">
        <a:xfrm flipV="1">
          <a:off x="5924550" y="136779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390525</xdr:colOff>
      <xdr:row>105</xdr:row>
      <xdr:rowOff>104775</xdr:rowOff>
    </xdr:from>
    <xdr:to>
      <xdr:col>11</xdr:col>
      <xdr:colOff>590550</xdr:colOff>
      <xdr:row>105</xdr:row>
      <xdr:rowOff>104775</xdr:rowOff>
    </xdr:to>
    <xdr:cxnSp macro="">
      <xdr:nvCxnSpPr>
        <xdr:cNvPr id="54032" name="AutoShape 5"/>
        <xdr:cNvCxnSpPr>
          <a:cxnSpLocks noChangeShapeType="1"/>
        </xdr:cNvCxnSpPr>
      </xdr:nvCxnSpPr>
      <xdr:spPr bwMode="auto">
        <a:xfrm>
          <a:off x="5915025" y="13677900"/>
          <a:ext cx="32480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619125</xdr:colOff>
      <xdr:row>94</xdr:row>
      <xdr:rowOff>38100</xdr:rowOff>
    </xdr:from>
    <xdr:to>
      <xdr:col>9</xdr:col>
      <xdr:colOff>104775</xdr:colOff>
      <xdr:row>96</xdr:row>
      <xdr:rowOff>0</xdr:rowOff>
    </xdr:to>
    <xdr:sp macro="" textlink="">
      <xdr:nvSpPr>
        <xdr:cNvPr id="53254" name="Rectangle 6"/>
        <xdr:cNvSpPr>
          <a:spLocks noChangeArrowheads="1"/>
        </xdr:cNvSpPr>
      </xdr:nvSpPr>
      <xdr:spPr bwMode="auto">
        <a:xfrm>
          <a:off x="69056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352425</xdr:colOff>
      <xdr:row>101</xdr:row>
      <xdr:rowOff>0</xdr:rowOff>
    </xdr:from>
    <xdr:to>
      <xdr:col>9</xdr:col>
      <xdr:colOff>600075</xdr:colOff>
      <xdr:row>102</xdr:row>
      <xdr:rowOff>76200</xdr:rowOff>
    </xdr:to>
    <xdr:sp macro="" textlink="">
      <xdr:nvSpPr>
        <xdr:cNvPr id="53255" name="Rectangle 7"/>
        <xdr:cNvSpPr>
          <a:spLocks noChangeArrowheads="1"/>
        </xdr:cNvSpPr>
      </xdr:nvSpPr>
      <xdr:spPr bwMode="auto">
        <a:xfrm>
          <a:off x="74009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8</xdr:col>
      <xdr:colOff>619125</xdr:colOff>
      <xdr:row>103</xdr:row>
      <xdr:rowOff>9525</xdr:rowOff>
    </xdr:from>
    <xdr:to>
      <xdr:col>9</xdr:col>
      <xdr:colOff>104775</xdr:colOff>
      <xdr:row>104</xdr:row>
      <xdr:rowOff>123825</xdr:rowOff>
    </xdr:to>
    <xdr:sp macro="" textlink="">
      <xdr:nvSpPr>
        <xdr:cNvPr id="53256" name="Rectangle 8"/>
        <xdr:cNvSpPr>
          <a:spLocks noChangeArrowheads="1"/>
        </xdr:cNvSpPr>
      </xdr:nvSpPr>
      <xdr:spPr bwMode="auto">
        <a:xfrm>
          <a:off x="6905625" y="13677900"/>
          <a:ext cx="247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742950</xdr:colOff>
      <xdr:row>96</xdr:row>
      <xdr:rowOff>0</xdr:rowOff>
    </xdr:from>
    <xdr:to>
      <xdr:col>8</xdr:col>
      <xdr:colOff>742950</xdr:colOff>
      <xdr:row>103</xdr:row>
      <xdr:rowOff>9525</xdr:rowOff>
    </xdr:to>
    <xdr:cxnSp macro="">
      <xdr:nvCxnSpPr>
        <xdr:cNvPr id="54036" name="AutoShape 9"/>
        <xdr:cNvCxnSpPr>
          <a:cxnSpLocks noChangeShapeType="1"/>
          <a:stCxn id="53254" idx="2"/>
          <a:endCxn id="53256" idx="0"/>
        </xdr:cNvCxnSpPr>
      </xdr:nvCxnSpPr>
      <xdr:spPr bwMode="auto">
        <a:xfrm>
          <a:off x="7029450" y="136779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742950</xdr:colOff>
      <xdr:row>96</xdr:row>
      <xdr:rowOff>0</xdr:rowOff>
    </xdr:from>
    <xdr:to>
      <xdr:col>9</xdr:col>
      <xdr:colOff>476250</xdr:colOff>
      <xdr:row>101</xdr:row>
      <xdr:rowOff>0</xdr:rowOff>
    </xdr:to>
    <xdr:cxnSp macro="">
      <xdr:nvCxnSpPr>
        <xdr:cNvPr id="54037" name="AutoShape 10"/>
        <xdr:cNvCxnSpPr>
          <a:cxnSpLocks noChangeShapeType="1"/>
          <a:stCxn id="53254" idx="2"/>
          <a:endCxn id="53255" idx="0"/>
        </xdr:cNvCxnSpPr>
      </xdr:nvCxnSpPr>
      <xdr:spPr bwMode="auto">
        <a:xfrm>
          <a:off x="7029450" y="13677900"/>
          <a:ext cx="4953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200025</xdr:colOff>
      <xdr:row>91</xdr:row>
      <xdr:rowOff>47625</xdr:rowOff>
    </xdr:from>
    <xdr:to>
      <xdr:col>10</xdr:col>
      <xdr:colOff>457200</xdr:colOff>
      <xdr:row>92</xdr:row>
      <xdr:rowOff>57150</xdr:rowOff>
    </xdr:to>
    <xdr:sp macro="" textlink="">
      <xdr:nvSpPr>
        <xdr:cNvPr id="53259" name="Text Box 11"/>
        <xdr:cNvSpPr txBox="1">
          <a:spLocks noChangeArrowheads="1"/>
        </xdr:cNvSpPr>
      </xdr:nvSpPr>
      <xdr:spPr bwMode="auto">
        <a:xfrm>
          <a:off x="801052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HP</a:t>
          </a:r>
        </a:p>
      </xdr:txBody>
    </xdr:sp>
    <xdr:clientData/>
  </xdr:twoCellAnchor>
  <xdr:twoCellAnchor>
    <xdr:from>
      <xdr:col>10</xdr:col>
      <xdr:colOff>695325</xdr:colOff>
      <xdr:row>96</xdr:row>
      <xdr:rowOff>142875</xdr:rowOff>
    </xdr:from>
    <xdr:to>
      <xdr:col>11</xdr:col>
      <xdr:colOff>190500</xdr:colOff>
      <xdr:row>97</xdr:row>
      <xdr:rowOff>152400</xdr:rowOff>
    </xdr:to>
    <xdr:sp macro="" textlink="">
      <xdr:nvSpPr>
        <xdr:cNvPr id="53260" name="Text Box 12"/>
        <xdr:cNvSpPr txBox="1">
          <a:spLocks noChangeArrowheads="1"/>
        </xdr:cNvSpPr>
      </xdr:nvSpPr>
      <xdr:spPr bwMode="auto">
        <a:xfrm>
          <a:off x="850582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LP</a:t>
          </a:r>
        </a:p>
      </xdr:txBody>
    </xdr:sp>
    <xdr:clientData/>
  </xdr:twoCellAnchor>
  <xdr:twoCellAnchor>
    <xdr:from>
      <xdr:col>11</xdr:col>
      <xdr:colOff>400050</xdr:colOff>
      <xdr:row>106</xdr:row>
      <xdr:rowOff>0</xdr:rowOff>
    </xdr:from>
    <xdr:to>
      <xdr:col>11</xdr:col>
      <xdr:colOff>657225</xdr:colOff>
      <xdr:row>107</xdr:row>
      <xdr:rowOff>9525</xdr:rowOff>
    </xdr:to>
    <xdr:sp macro="" textlink="">
      <xdr:nvSpPr>
        <xdr:cNvPr id="53261" name="Text Box 13"/>
        <xdr:cNvSpPr txBox="1">
          <a:spLocks noChangeArrowheads="1"/>
        </xdr:cNvSpPr>
      </xdr:nvSpPr>
      <xdr:spPr bwMode="auto">
        <a:xfrm>
          <a:off x="8972550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</a:p>
      </xdr:txBody>
    </xdr:sp>
    <xdr:clientData/>
  </xdr:twoCellAnchor>
  <xdr:twoCellAnchor>
    <xdr:from>
      <xdr:col>7</xdr:col>
      <xdr:colOff>180975</xdr:colOff>
      <xdr:row>90</xdr:row>
      <xdr:rowOff>28575</xdr:rowOff>
    </xdr:from>
    <xdr:to>
      <xdr:col>7</xdr:col>
      <xdr:colOff>438150</xdr:colOff>
      <xdr:row>91</xdr:row>
      <xdr:rowOff>38100</xdr:rowOff>
    </xdr:to>
    <xdr:sp macro="" textlink="">
      <xdr:nvSpPr>
        <xdr:cNvPr id="53262" name="Text Box 14"/>
        <xdr:cNvSpPr txBox="1">
          <a:spLocks noChangeArrowheads="1"/>
        </xdr:cNvSpPr>
      </xdr:nvSpPr>
      <xdr:spPr bwMode="auto">
        <a:xfrm>
          <a:off x="5705475" y="1367790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</a:p>
      </xdr:txBody>
    </xdr:sp>
    <xdr:clientData/>
  </xdr:twoCellAnchor>
  <xdr:twoCellAnchor>
    <xdr:from>
      <xdr:col>10</xdr:col>
      <xdr:colOff>180975</xdr:colOff>
      <xdr:row>156</xdr:row>
      <xdr:rowOff>0</xdr:rowOff>
    </xdr:from>
    <xdr:to>
      <xdr:col>11</xdr:col>
      <xdr:colOff>133350</xdr:colOff>
      <xdr:row>156</xdr:row>
      <xdr:rowOff>0</xdr:rowOff>
    </xdr:to>
    <xdr:sp macro="" textlink="">
      <xdr:nvSpPr>
        <xdr:cNvPr id="53263" name="Text Box 15"/>
        <xdr:cNvSpPr txBox="1">
          <a:spLocks noChangeArrowheads="1"/>
        </xdr:cNvSpPr>
      </xdr:nvSpPr>
      <xdr:spPr bwMode="auto">
        <a:xfrm>
          <a:off x="7991475" y="184785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10</xdr:col>
      <xdr:colOff>9525</xdr:colOff>
      <xdr:row>175</xdr:row>
      <xdr:rowOff>28575</xdr:rowOff>
    </xdr:from>
    <xdr:to>
      <xdr:col>10</xdr:col>
      <xdr:colOff>161925</xdr:colOff>
      <xdr:row>177</xdr:row>
      <xdr:rowOff>85725</xdr:rowOff>
    </xdr:to>
    <xdr:sp macro="" textlink="">
      <xdr:nvSpPr>
        <xdr:cNvPr id="54043" name="AutoShape 16"/>
        <xdr:cNvSpPr>
          <a:spLocks/>
        </xdr:cNvSpPr>
      </xdr:nvSpPr>
      <xdr:spPr bwMode="auto">
        <a:xfrm>
          <a:off x="7820025" y="21907500"/>
          <a:ext cx="152400" cy="381000"/>
        </a:xfrm>
        <a:prstGeom prst="righ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175</xdr:row>
      <xdr:rowOff>85725</xdr:rowOff>
    </xdr:from>
    <xdr:to>
      <xdr:col>11</xdr:col>
      <xdr:colOff>152400</xdr:colOff>
      <xdr:row>176</xdr:row>
      <xdr:rowOff>152400</xdr:rowOff>
    </xdr:to>
    <xdr:sp macro="" textlink="">
      <xdr:nvSpPr>
        <xdr:cNvPr id="53265" name="Text Box 17"/>
        <xdr:cNvSpPr txBox="1">
          <a:spLocks noChangeArrowheads="1"/>
        </xdr:cNvSpPr>
      </xdr:nvSpPr>
      <xdr:spPr bwMode="auto">
        <a:xfrm>
          <a:off x="8010525" y="21964650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9</xdr:col>
      <xdr:colOff>247650</xdr:colOff>
      <xdr:row>161</xdr:row>
      <xdr:rowOff>47625</xdr:rowOff>
    </xdr:from>
    <xdr:to>
      <xdr:col>9</xdr:col>
      <xdr:colOff>400050</xdr:colOff>
      <xdr:row>163</xdr:row>
      <xdr:rowOff>104775</xdr:rowOff>
    </xdr:to>
    <xdr:sp macro="" textlink="">
      <xdr:nvSpPr>
        <xdr:cNvPr id="54045" name="AutoShape 18"/>
        <xdr:cNvSpPr>
          <a:spLocks/>
        </xdr:cNvSpPr>
      </xdr:nvSpPr>
      <xdr:spPr bwMode="auto">
        <a:xfrm>
          <a:off x="7296150" y="19497675"/>
          <a:ext cx="152400" cy="381000"/>
        </a:xfrm>
        <a:prstGeom prst="righ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504825</xdr:colOff>
      <xdr:row>161</xdr:row>
      <xdr:rowOff>133350</xdr:rowOff>
    </xdr:from>
    <xdr:to>
      <xdr:col>10</xdr:col>
      <xdr:colOff>457200</xdr:colOff>
      <xdr:row>163</xdr:row>
      <xdr:rowOff>38100</xdr:rowOff>
    </xdr:to>
    <xdr:sp macro="" textlink="">
      <xdr:nvSpPr>
        <xdr:cNvPr id="53267" name="Text Box 19"/>
        <xdr:cNvSpPr txBox="1">
          <a:spLocks noChangeArrowheads="1"/>
        </xdr:cNvSpPr>
      </xdr:nvSpPr>
      <xdr:spPr bwMode="auto">
        <a:xfrm>
          <a:off x="7553325" y="19583400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5</xdr:col>
      <xdr:colOff>123825</xdr:colOff>
      <xdr:row>162</xdr:row>
      <xdr:rowOff>142875</xdr:rowOff>
    </xdr:from>
    <xdr:to>
      <xdr:col>5</xdr:col>
      <xdr:colOff>676275</xdr:colOff>
      <xdr:row>169</xdr:row>
      <xdr:rowOff>66675</xdr:rowOff>
    </xdr:to>
    <xdr:sp macro="" textlink="">
      <xdr:nvSpPr>
        <xdr:cNvPr id="54047" name="Oval 20"/>
        <xdr:cNvSpPr>
          <a:spLocks noChangeArrowheads="1"/>
        </xdr:cNvSpPr>
      </xdr:nvSpPr>
      <xdr:spPr bwMode="auto">
        <a:xfrm>
          <a:off x="4019550" y="19754850"/>
          <a:ext cx="552450" cy="10572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685800</xdr:colOff>
      <xdr:row>169</xdr:row>
      <xdr:rowOff>85725</xdr:rowOff>
    </xdr:from>
    <xdr:to>
      <xdr:col>6</xdr:col>
      <xdr:colOff>180975</xdr:colOff>
      <xdr:row>176</xdr:row>
      <xdr:rowOff>104775</xdr:rowOff>
    </xdr:to>
    <xdr:sp macro="" textlink="">
      <xdr:nvSpPr>
        <xdr:cNvPr id="54048" name="Freeform 21"/>
        <xdr:cNvSpPr>
          <a:spLocks/>
        </xdr:cNvSpPr>
      </xdr:nvSpPr>
      <xdr:spPr bwMode="auto">
        <a:xfrm>
          <a:off x="4581525" y="20831175"/>
          <a:ext cx="361950" cy="1314450"/>
        </a:xfrm>
        <a:custGeom>
          <a:avLst/>
          <a:gdLst>
            <a:gd name="T0" fmla="*/ 1036713580 w 49"/>
            <a:gd name="T1" fmla="*/ 2147483647 h 138"/>
            <a:gd name="T2" fmla="*/ 2147483647 w 49"/>
            <a:gd name="T3" fmla="*/ 2147483647 h 138"/>
            <a:gd name="T4" fmla="*/ 0 w 49"/>
            <a:gd name="T5" fmla="*/ 0 h 138"/>
            <a:gd name="T6" fmla="*/ 0 60000 65536"/>
            <a:gd name="T7" fmla="*/ 0 60000 65536"/>
            <a:gd name="T8" fmla="*/ 0 60000 65536"/>
            <a:gd name="T9" fmla="*/ 0 w 49"/>
            <a:gd name="T10" fmla="*/ 0 h 138"/>
            <a:gd name="T11" fmla="*/ 49 w 49"/>
            <a:gd name="T12" fmla="*/ 138 h 1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9" h="138">
              <a:moveTo>
                <a:pt x="19" y="138"/>
              </a:moveTo>
              <a:lnTo>
                <a:pt x="49" y="31"/>
              </a:ln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5</xdr:col>
      <xdr:colOff>133350</xdr:colOff>
      <xdr:row>175</xdr:row>
      <xdr:rowOff>114300</xdr:rowOff>
    </xdr:from>
    <xdr:to>
      <xdr:col>5</xdr:col>
      <xdr:colOff>685800</xdr:colOff>
      <xdr:row>182</xdr:row>
      <xdr:rowOff>38100</xdr:rowOff>
    </xdr:to>
    <xdr:sp macro="" textlink="">
      <xdr:nvSpPr>
        <xdr:cNvPr id="54049" name="Oval 22"/>
        <xdr:cNvSpPr>
          <a:spLocks noChangeArrowheads="1"/>
        </xdr:cNvSpPr>
      </xdr:nvSpPr>
      <xdr:spPr bwMode="auto">
        <a:xfrm>
          <a:off x="4029075" y="21993225"/>
          <a:ext cx="552450" cy="10572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247650</xdr:colOff>
      <xdr:row>170</xdr:row>
      <xdr:rowOff>123825</xdr:rowOff>
    </xdr:from>
    <xdr:to>
      <xdr:col>10</xdr:col>
      <xdr:colOff>561975</xdr:colOff>
      <xdr:row>172</xdr:row>
      <xdr:rowOff>28575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5010150" y="21031200"/>
          <a:ext cx="3362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DEBIT DE T1 DOIT ETRE LIMITE CAR T2 EN SERIE</a:t>
          </a:r>
        </a:p>
      </xdr:txBody>
    </xdr:sp>
    <xdr:clientData/>
  </xdr:twoCellAnchor>
  <xdr:twoCellAnchor>
    <xdr:from>
      <xdr:col>10</xdr:col>
      <xdr:colOff>266700</xdr:colOff>
      <xdr:row>184</xdr:row>
      <xdr:rowOff>114300</xdr:rowOff>
    </xdr:from>
    <xdr:to>
      <xdr:col>19</xdr:col>
      <xdr:colOff>123825</xdr:colOff>
      <xdr:row>203</xdr:row>
      <xdr:rowOff>9525</xdr:rowOff>
    </xdr:to>
    <xdr:pic>
      <xdr:nvPicPr>
        <xdr:cNvPr id="5405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23450550"/>
          <a:ext cx="671512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752475</xdr:colOff>
      <xdr:row>19</xdr:row>
      <xdr:rowOff>0</xdr:rowOff>
    </xdr:from>
    <xdr:to>
      <xdr:col>11</xdr:col>
      <xdr:colOff>704850</xdr:colOff>
      <xdr:row>19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8562975" y="30861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cas design</a:t>
          </a:r>
        </a:p>
      </xdr:txBody>
    </xdr:sp>
    <xdr:clientData/>
  </xdr:twoCellAnchor>
  <xdr:twoCellAnchor>
    <xdr:from>
      <xdr:col>1</xdr:col>
      <xdr:colOff>361950</xdr:colOff>
      <xdr:row>196</xdr:row>
      <xdr:rowOff>114300</xdr:rowOff>
    </xdr:from>
    <xdr:to>
      <xdr:col>2</xdr:col>
      <xdr:colOff>19050</xdr:colOff>
      <xdr:row>198</xdr:row>
      <xdr:rowOff>152400</xdr:rowOff>
    </xdr:to>
    <xdr:sp macro="" textlink="">
      <xdr:nvSpPr>
        <xdr:cNvPr id="54053" name="AutoShape 31"/>
        <xdr:cNvSpPr>
          <a:spLocks noChangeArrowheads="1"/>
        </xdr:cNvSpPr>
      </xdr:nvSpPr>
      <xdr:spPr bwMode="auto">
        <a:xfrm>
          <a:off x="1123950" y="23983950"/>
          <a:ext cx="371475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205</xdr:row>
      <xdr:rowOff>19050</xdr:rowOff>
    </xdr:from>
    <xdr:to>
      <xdr:col>2</xdr:col>
      <xdr:colOff>342900</xdr:colOff>
      <xdr:row>207</xdr:row>
      <xdr:rowOff>66675</xdr:rowOff>
    </xdr:to>
    <xdr:sp macro="" textlink="">
      <xdr:nvSpPr>
        <xdr:cNvPr id="54054" name="AutoShape 32"/>
        <xdr:cNvSpPr>
          <a:spLocks noChangeArrowheads="1"/>
        </xdr:cNvSpPr>
      </xdr:nvSpPr>
      <xdr:spPr bwMode="auto">
        <a:xfrm>
          <a:off x="1447800" y="23983950"/>
          <a:ext cx="371475" cy="0"/>
        </a:xfrm>
        <a:prstGeom prst="triangle">
          <a:avLst>
            <a:gd name="adj" fmla="val 50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195</xdr:row>
      <xdr:rowOff>9525</xdr:rowOff>
    </xdr:from>
    <xdr:to>
      <xdr:col>1</xdr:col>
      <xdr:colOff>552450</xdr:colOff>
      <xdr:row>196</xdr:row>
      <xdr:rowOff>114300</xdr:rowOff>
    </xdr:to>
    <xdr:cxnSp macro="">
      <xdr:nvCxnSpPr>
        <xdr:cNvPr id="54055" name="AutoShape 33"/>
        <xdr:cNvCxnSpPr>
          <a:cxnSpLocks noChangeShapeType="1"/>
          <a:endCxn id="54053" idx="0"/>
        </xdr:cNvCxnSpPr>
      </xdr:nvCxnSpPr>
      <xdr:spPr bwMode="auto">
        <a:xfrm>
          <a:off x="885825" y="23983950"/>
          <a:ext cx="428625" cy="0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1</xdr:col>
      <xdr:colOff>361950</xdr:colOff>
      <xdr:row>198</xdr:row>
      <xdr:rowOff>152400</xdr:rowOff>
    </xdr:from>
    <xdr:to>
      <xdr:col>2</xdr:col>
      <xdr:colOff>161925</xdr:colOff>
      <xdr:row>205</xdr:row>
      <xdr:rowOff>19050</xdr:rowOff>
    </xdr:to>
    <xdr:cxnSp macro="">
      <xdr:nvCxnSpPr>
        <xdr:cNvPr id="54056" name="AutoShape 35"/>
        <xdr:cNvCxnSpPr>
          <a:cxnSpLocks noChangeShapeType="1"/>
          <a:stCxn id="54053" idx="2"/>
          <a:endCxn id="54054" idx="0"/>
        </xdr:cNvCxnSpPr>
      </xdr:nvCxnSpPr>
      <xdr:spPr bwMode="auto">
        <a:xfrm rot="16200000" flipH="1">
          <a:off x="1381125" y="23726775"/>
          <a:ext cx="0" cy="514350"/>
        </a:xfrm>
        <a:prstGeom prst="bentConnector3">
          <a:avLst>
            <a:gd name="adj1" fmla="val 49523"/>
          </a:avLst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1</xdr:col>
      <xdr:colOff>180975</xdr:colOff>
      <xdr:row>207</xdr:row>
      <xdr:rowOff>66675</xdr:rowOff>
    </xdr:from>
    <xdr:to>
      <xdr:col>1</xdr:col>
      <xdr:colOff>685800</xdr:colOff>
      <xdr:row>209</xdr:row>
      <xdr:rowOff>104775</xdr:rowOff>
    </xdr:to>
    <xdr:cxnSp macro="">
      <xdr:nvCxnSpPr>
        <xdr:cNvPr id="54057" name="AutoShape 36"/>
        <xdr:cNvCxnSpPr>
          <a:cxnSpLocks noChangeShapeType="1"/>
          <a:stCxn id="54054" idx="2"/>
        </xdr:cNvCxnSpPr>
      </xdr:nvCxnSpPr>
      <xdr:spPr bwMode="auto">
        <a:xfrm rot="5400000">
          <a:off x="1195388" y="23731537"/>
          <a:ext cx="0" cy="504825"/>
        </a:xfrm>
        <a:prstGeom prst="bentConnector2">
          <a:avLst/>
        </a:prstGeom>
        <a:noFill/>
        <a:ln w="28575">
          <a:solidFill>
            <a:srgbClr val="6633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8</xdr:col>
      <xdr:colOff>609600</xdr:colOff>
      <xdr:row>158</xdr:row>
      <xdr:rowOff>66675</xdr:rowOff>
    </xdr:from>
    <xdr:to>
      <xdr:col>10</xdr:col>
      <xdr:colOff>714375</xdr:colOff>
      <xdr:row>161</xdr:row>
      <xdr:rowOff>66675</xdr:rowOff>
    </xdr:to>
    <xdr:sp macro="" textlink="">
      <xdr:nvSpPr>
        <xdr:cNvPr id="54058" name="Line 68"/>
        <xdr:cNvSpPr>
          <a:spLocks noChangeShapeType="1"/>
        </xdr:cNvSpPr>
      </xdr:nvSpPr>
      <xdr:spPr bwMode="auto">
        <a:xfrm flipV="1">
          <a:off x="6896100" y="18869025"/>
          <a:ext cx="1628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7</xdr:col>
      <xdr:colOff>276225</xdr:colOff>
      <xdr:row>8</xdr:row>
      <xdr:rowOff>76200</xdr:rowOff>
    </xdr:from>
    <xdr:to>
      <xdr:col>11</xdr:col>
      <xdr:colOff>676275</xdr:colOff>
      <xdr:row>26</xdr:row>
      <xdr:rowOff>133350</xdr:rowOff>
    </xdr:to>
    <xdr:graphicFrame macro="">
      <xdr:nvGraphicFramePr>
        <xdr:cNvPr id="5405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85725</xdr:rowOff>
    </xdr:from>
    <xdr:to>
      <xdr:col>6</xdr:col>
      <xdr:colOff>0</xdr:colOff>
      <xdr:row>3</xdr:row>
      <xdr:rowOff>57150</xdr:rowOff>
    </xdr:to>
    <xdr:grpSp>
      <xdr:nvGrpSpPr>
        <xdr:cNvPr id="79989" name="Group 1"/>
        <xdr:cNvGrpSpPr>
          <a:grpSpLocks/>
        </xdr:cNvGrpSpPr>
      </xdr:nvGrpSpPr>
      <xdr:grpSpPr bwMode="auto">
        <a:xfrm>
          <a:off x="247650" y="190500"/>
          <a:ext cx="838200" cy="400050"/>
          <a:chOff x="2448" y="3888"/>
          <a:chExt cx="1815" cy="540"/>
        </a:xfrm>
      </xdr:grpSpPr>
      <xdr:pic>
        <xdr:nvPicPr>
          <xdr:cNvPr id="79992" name="Picture 2" descr="logoal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448" y="3888"/>
            <a:ext cx="1815" cy="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9875" name="WordArt 3"/>
          <xdr:cNvSpPr>
            <a:spLocks noChangeAspect="1" noChangeArrowheads="1" noChangeShapeType="1" noTextEdit="1"/>
          </xdr:cNvSpPr>
        </xdr:nvSpPr>
        <xdr:spPr bwMode="auto">
          <a:xfrm>
            <a:off x="3129" y="4364"/>
            <a:ext cx="1134" cy="51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r>
              <a:rPr lang="fr-FR" sz="800" b="1" kern="10" spc="0" normalizeH="1">
                <a:ln w="9525">
                  <a:noFill/>
                  <a:round/>
                  <a:headEnd/>
                  <a:tailEnd/>
                </a:ln>
                <a:solidFill>
                  <a:srgbClr val="0072A0"/>
                </a:solidFill>
                <a:effectLst/>
                <a:latin typeface="Arial"/>
                <a:cs typeface="Arial"/>
              </a:rPr>
              <a:t>TECHNIQUES AVANCEES</a:t>
            </a:r>
          </a:p>
        </xdr:txBody>
      </xdr:sp>
    </xdr:grpSp>
    <xdr:clientData/>
  </xdr:twoCellAnchor>
  <xdr:twoCellAnchor>
    <xdr:from>
      <xdr:col>11</xdr:col>
      <xdr:colOff>9525</xdr:colOff>
      <xdr:row>42</xdr:row>
      <xdr:rowOff>123825</xdr:rowOff>
    </xdr:from>
    <xdr:to>
      <xdr:col>12</xdr:col>
      <xdr:colOff>0</xdr:colOff>
      <xdr:row>42</xdr:row>
      <xdr:rowOff>123825</xdr:rowOff>
    </xdr:to>
    <xdr:sp macro="" textlink="">
      <xdr:nvSpPr>
        <xdr:cNvPr id="79990" name="Line 4"/>
        <xdr:cNvSpPr>
          <a:spLocks noChangeShapeType="1"/>
        </xdr:cNvSpPr>
      </xdr:nvSpPr>
      <xdr:spPr bwMode="auto">
        <a:xfrm>
          <a:off x="5619750" y="81819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</xdr:colOff>
      <xdr:row>49</xdr:row>
      <xdr:rowOff>123825</xdr:rowOff>
    </xdr:from>
    <xdr:to>
      <xdr:col>12</xdr:col>
      <xdr:colOff>0</xdr:colOff>
      <xdr:row>49</xdr:row>
      <xdr:rowOff>123825</xdr:rowOff>
    </xdr:to>
    <xdr:sp macro="" textlink="">
      <xdr:nvSpPr>
        <xdr:cNvPr id="79991" name="Line 6"/>
        <xdr:cNvSpPr>
          <a:spLocks noChangeShapeType="1"/>
        </xdr:cNvSpPr>
      </xdr:nvSpPr>
      <xdr:spPr bwMode="auto">
        <a:xfrm>
          <a:off x="5619750" y="95535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28575</xdr:rowOff>
    </xdr:from>
    <xdr:to>
      <xdr:col>0</xdr:col>
      <xdr:colOff>0</xdr:colOff>
      <xdr:row>56</xdr:row>
      <xdr:rowOff>47625</xdr:rowOff>
    </xdr:to>
    <xdr:sp macro="" textlink="">
      <xdr:nvSpPr>
        <xdr:cNvPr id="81991" name="Rectangle 1"/>
        <xdr:cNvSpPr>
          <a:spLocks noChangeArrowheads="1"/>
        </xdr:cNvSpPr>
      </xdr:nvSpPr>
      <xdr:spPr bwMode="auto">
        <a:xfrm>
          <a:off x="0" y="7962900"/>
          <a:ext cx="0" cy="1152525"/>
        </a:xfrm>
        <a:prstGeom prst="rect">
          <a:avLst/>
        </a:prstGeom>
        <a:noFill/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85725</xdr:rowOff>
    </xdr:from>
    <xdr:to>
      <xdr:col>0</xdr:col>
      <xdr:colOff>0</xdr:colOff>
      <xdr:row>61</xdr:row>
      <xdr:rowOff>76200</xdr:rowOff>
    </xdr:to>
    <xdr:sp macro="" textlink="">
      <xdr:nvSpPr>
        <xdr:cNvPr id="81992" name="Line 2"/>
        <xdr:cNvSpPr>
          <a:spLocks noChangeShapeType="1"/>
        </xdr:cNvSpPr>
      </xdr:nvSpPr>
      <xdr:spPr bwMode="auto">
        <a:xfrm>
          <a:off x="0" y="7372350"/>
          <a:ext cx="0" cy="2581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45</xdr:row>
      <xdr:rowOff>104775</xdr:rowOff>
    </xdr:from>
    <xdr:to>
      <xdr:col>0</xdr:col>
      <xdr:colOff>0</xdr:colOff>
      <xdr:row>61</xdr:row>
      <xdr:rowOff>38100</xdr:rowOff>
    </xdr:to>
    <xdr:sp macro="" textlink="">
      <xdr:nvSpPr>
        <xdr:cNvPr id="81993" name="Line 3"/>
        <xdr:cNvSpPr>
          <a:spLocks noChangeShapeType="1"/>
        </xdr:cNvSpPr>
      </xdr:nvSpPr>
      <xdr:spPr bwMode="auto">
        <a:xfrm flipV="1">
          <a:off x="0" y="7391400"/>
          <a:ext cx="0" cy="2524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-s-dta-02\R-Projets$\GCRY\3010911-C2047-HELIAL%20KYOTO\Dossier%20de%20definition\DS%20-%20Data%20Sheets\C2047-DS-107-Lines%20List\C2047-DS-107%20Annex%201%20Dimensionnement%20pipes%20en%20cours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HePak.xla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Desktop/To%20Store/delta%20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livier.weitten/Local%20Settings/Temporary%20Internet%20Files/OLK2/Valves_refprop_si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-s-dta-02\r-projets$\Documents%20and%20Settings\vincent.heloin\My%20Documents\SPEC%20VANNES\Valves_refprop_simp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_simp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livier.weitten/Local%20Settings/Temporary%20Internet%20Files/OLK2/Valves_refpr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HX%20Navant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en.striebig/My%20Documents/Navantia/ess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CRY\1000913-C1243-JT-60SA\Dossier%20de%20definition\Macro_VH_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lantation"/>
      <sheetName val="Warm Lines"/>
      <sheetName val="Turbines Bearings"/>
      <sheetName val="Boite Froide Haut"/>
      <sheetName val="Boite Froide Bas"/>
      <sheetName val="ORS 1"/>
      <sheetName val="Lignes froides AL"/>
      <sheetName val="calcul"/>
      <sheetName val="Fluides"/>
      <sheetName val="Pipe di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He</v>
          </cell>
        </row>
        <row r="3">
          <cell r="K3" t="str">
            <v>N2</v>
          </cell>
        </row>
      </sheetData>
      <sheetData sheetId="9">
        <row r="33">
          <cell r="C33">
            <v>10</v>
          </cell>
        </row>
        <row r="34">
          <cell r="C34">
            <v>15</v>
          </cell>
        </row>
        <row r="35">
          <cell r="C35">
            <v>20</v>
          </cell>
        </row>
        <row r="36">
          <cell r="C36">
            <v>25</v>
          </cell>
        </row>
        <row r="37">
          <cell r="C37">
            <v>32</v>
          </cell>
        </row>
        <row r="38">
          <cell r="C38">
            <v>40</v>
          </cell>
        </row>
        <row r="39">
          <cell r="C39">
            <v>50</v>
          </cell>
        </row>
        <row r="40">
          <cell r="C40">
            <v>65</v>
          </cell>
        </row>
        <row r="41">
          <cell r="C41">
            <v>80</v>
          </cell>
        </row>
        <row r="42">
          <cell r="C42">
            <v>100</v>
          </cell>
        </row>
        <row r="43">
          <cell r="C43">
            <v>150</v>
          </cell>
        </row>
        <row r="44">
          <cell r="C44">
            <v>200</v>
          </cell>
        </row>
        <row r="45">
          <cell r="C45">
            <v>250</v>
          </cell>
        </row>
        <row r="46">
          <cell r="C46">
            <v>300</v>
          </cell>
        </row>
        <row r="51">
          <cell r="B51">
            <v>0</v>
          </cell>
        </row>
        <row r="52">
          <cell r="B52">
            <v>1</v>
          </cell>
        </row>
        <row r="53">
          <cell r="B53">
            <v>2</v>
          </cell>
        </row>
        <row r="54">
          <cell r="B54">
            <v>3</v>
          </cell>
        </row>
        <row r="55">
          <cell r="B55">
            <v>4</v>
          </cell>
        </row>
        <row r="56">
          <cell r="B56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  <definedName name="heProperty"/>
      <definedName name="heunit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jout Bloc HX(Pressu indep)"/>
      <sheetName val="Fluides"/>
      <sheetName val="Infos"/>
    </sheetNames>
    <sheetDataSet>
      <sheetData sheetId="0"/>
      <sheetData sheetId="1">
        <row r="2">
          <cell r="C2" t="str">
            <v>Ammoniac</v>
          </cell>
          <cell r="D2" t="str">
            <v>C:\Program files\GaspakDemo5\NH379.gas</v>
          </cell>
          <cell r="H2">
            <v>1</v>
          </cell>
        </row>
        <row r="3">
          <cell r="C3" t="str">
            <v>Argon</v>
          </cell>
          <cell r="D3" t="str">
            <v>C:\Program files\GaspakDemo5\ARGON83.gas</v>
          </cell>
          <cell r="H3">
            <v>2</v>
          </cell>
        </row>
        <row r="4">
          <cell r="C4" t="str">
            <v>Azote</v>
          </cell>
          <cell r="D4" t="str">
            <v>C:\Program files\GaspakDemo5\N273.gas</v>
          </cell>
          <cell r="H4">
            <v>21</v>
          </cell>
        </row>
        <row r="5">
          <cell r="C5" t="str">
            <v>Azote</v>
          </cell>
          <cell r="D5" t="str">
            <v>C:\Program files\GaspakDemo5\N286.gas</v>
          </cell>
          <cell r="H5">
            <v>22</v>
          </cell>
        </row>
        <row r="6">
          <cell r="C6" t="str">
            <v>Butane Normal</v>
          </cell>
          <cell r="D6" t="str">
            <v>C:\Program files\GaspakDemo5\NORB86.gas</v>
          </cell>
          <cell r="H6">
            <v>4</v>
          </cell>
        </row>
        <row r="7">
          <cell r="C7" t="str">
            <v>Deutérium</v>
          </cell>
          <cell r="D7" t="str">
            <v>C:\Program files\GaspakDemo5\D286.gas</v>
          </cell>
          <cell r="H7">
            <v>7</v>
          </cell>
        </row>
        <row r="8">
          <cell r="C8" t="str">
            <v>Dioxide de carbone</v>
          </cell>
          <cell r="D8" t="str">
            <v>C:\Program files\GaspakDemo5\CO289.gas</v>
          </cell>
          <cell r="H8">
            <v>5</v>
          </cell>
        </row>
        <row r="9">
          <cell r="C9" t="str">
            <v>Eau</v>
          </cell>
          <cell r="D9" t="str">
            <v>C:\Program files\GaspakDemo5\H2O89.gas</v>
          </cell>
          <cell r="H9">
            <v>27</v>
          </cell>
        </row>
        <row r="10">
          <cell r="C10" t="str">
            <v>Ethane</v>
          </cell>
          <cell r="D10" t="str">
            <v>C:\Program files\GaspakDemo5\C2H686.gas</v>
          </cell>
          <cell r="H10">
            <v>8</v>
          </cell>
        </row>
        <row r="11">
          <cell r="C11" t="str">
            <v>Ethylène</v>
          </cell>
          <cell r="D11" t="str">
            <v>C:\Program files\GaspakDemo5\C2H481.gas</v>
          </cell>
          <cell r="H11">
            <v>9</v>
          </cell>
        </row>
        <row r="12">
          <cell r="C12" t="str">
            <v>Ethylène</v>
          </cell>
          <cell r="D12" t="str">
            <v>C:\Program files\GaspakDemo5\C2H486.gas</v>
          </cell>
          <cell r="H12">
            <v>10</v>
          </cell>
        </row>
        <row r="13">
          <cell r="C13" t="str">
            <v>Helium</v>
          </cell>
          <cell r="D13" t="str">
            <v>C:\Program files\GaspakDemo5\HE89.gas</v>
          </cell>
          <cell r="H13">
            <v>11</v>
          </cell>
        </row>
        <row r="14">
          <cell r="C14" t="str">
            <v>Hydrogen Sulfide</v>
          </cell>
          <cell r="D14" t="str">
            <v>C:\Program files\GaspakDemo5\H2S93.gas</v>
          </cell>
          <cell r="H14">
            <v>16</v>
          </cell>
        </row>
        <row r="15">
          <cell r="C15" t="str">
            <v>Isobutane</v>
          </cell>
          <cell r="D15" t="str">
            <v>C:\Program files\GaspakDemo5\ISOB86.gas</v>
          </cell>
          <cell r="H15">
            <v>3</v>
          </cell>
        </row>
        <row r="16">
          <cell r="C16" t="str">
            <v>Krypton</v>
          </cell>
          <cell r="D16" t="str">
            <v>C:\Program files\GaspakDemo5\KR90.gas</v>
          </cell>
          <cell r="H16">
            <v>17</v>
          </cell>
        </row>
        <row r="17">
          <cell r="C17" t="str">
            <v>Méthane</v>
          </cell>
          <cell r="D17" t="str">
            <v>C:\Program files\GaspakDemo5\METH86.gas</v>
          </cell>
          <cell r="H17">
            <v>18</v>
          </cell>
        </row>
        <row r="18">
          <cell r="C18" t="str">
            <v>Méthane</v>
          </cell>
          <cell r="D18" t="str">
            <v>C:\Program files\GaspakDemo5\CH489.gas</v>
          </cell>
          <cell r="H18">
            <v>19</v>
          </cell>
        </row>
        <row r="19">
          <cell r="C19" t="str">
            <v>Monoxide de carbone</v>
          </cell>
          <cell r="D19" t="str">
            <v>C:\Program files\GaspakDemo5\CO85.gas</v>
          </cell>
          <cell r="H19">
            <v>6</v>
          </cell>
        </row>
        <row r="20">
          <cell r="C20" t="str">
            <v>Néon</v>
          </cell>
          <cell r="D20" t="str">
            <v>C:\Program files\GaspakDemo5\NE91.gas</v>
          </cell>
          <cell r="H20">
            <v>20</v>
          </cell>
        </row>
        <row r="21">
          <cell r="C21" t="str">
            <v>Nitrogene Trifluoride</v>
          </cell>
          <cell r="D21" t="str">
            <v>C:\Program files\GaspakDemo5\NF380.gas</v>
          </cell>
          <cell r="H21">
            <v>23</v>
          </cell>
        </row>
        <row r="22">
          <cell r="C22" t="str">
            <v>Normal Hydrogene</v>
          </cell>
          <cell r="D22" t="str">
            <v>C:\Program files\GaspakDemo5\NH291.gas</v>
          </cell>
          <cell r="H22">
            <v>13</v>
          </cell>
        </row>
        <row r="23">
          <cell r="C23" t="str">
            <v>Oxygène</v>
          </cell>
          <cell r="D23" t="str">
            <v>C:\Program files\GaspakDemo5\O278.gas</v>
          </cell>
          <cell r="H23">
            <v>24</v>
          </cell>
        </row>
        <row r="24">
          <cell r="C24" t="str">
            <v>Oxygène</v>
          </cell>
          <cell r="D24" t="str">
            <v>C:\Program files\GaspakDemo5\O285.gas</v>
          </cell>
          <cell r="H24">
            <v>25</v>
          </cell>
        </row>
        <row r="25">
          <cell r="C25" t="str">
            <v>ParaHydrogène</v>
          </cell>
          <cell r="D25" t="str">
            <v>C:\Program files\GaspakDemo5\PH275.gas</v>
          </cell>
          <cell r="H25">
            <v>15</v>
          </cell>
        </row>
        <row r="26">
          <cell r="C26" t="str">
            <v>Propane</v>
          </cell>
          <cell r="D26" t="str">
            <v>C:\Program files\GaspakDemo5\C3H886.gas</v>
          </cell>
          <cell r="H26">
            <v>26</v>
          </cell>
        </row>
        <row r="27">
          <cell r="C27" t="str">
            <v>R11</v>
          </cell>
          <cell r="D27" t="str">
            <v>C:\Program files\GaspakDemo5\R1191.gas</v>
          </cell>
          <cell r="H27">
            <v>29</v>
          </cell>
        </row>
        <row r="28">
          <cell r="C28" t="str">
            <v>R12</v>
          </cell>
          <cell r="D28" t="str">
            <v>C:\Program files\GaspakDemo5\R1291.gas</v>
          </cell>
          <cell r="H28">
            <v>30</v>
          </cell>
        </row>
        <row r="29">
          <cell r="C29" t="str">
            <v>R123</v>
          </cell>
          <cell r="D29" t="str">
            <v>C:\Program files\GaspakDemo5\R123N93.gas</v>
          </cell>
          <cell r="H29">
            <v>33</v>
          </cell>
        </row>
        <row r="30">
          <cell r="C30" t="str">
            <v>R124</v>
          </cell>
          <cell r="D30" t="str">
            <v>C:\Program files\GaspakDemo5\R124N93.gas</v>
          </cell>
          <cell r="H30">
            <v>34</v>
          </cell>
        </row>
        <row r="31">
          <cell r="C31" t="str">
            <v>R125</v>
          </cell>
          <cell r="D31" t="str">
            <v>C:\Program files\GaspakDemo5\R125N93.gas</v>
          </cell>
          <cell r="H31">
            <v>35</v>
          </cell>
        </row>
        <row r="32">
          <cell r="C32" t="str">
            <v>R134</v>
          </cell>
          <cell r="D32" t="str">
            <v>C:\Program files\GaspakDemo5\R134AN92.gas</v>
          </cell>
          <cell r="H32">
            <v>36</v>
          </cell>
        </row>
        <row r="33">
          <cell r="C33" t="str">
            <v>R134</v>
          </cell>
          <cell r="D33" t="str">
            <v>C:\Program files\GaspakDemo5\R134AT93.gas</v>
          </cell>
          <cell r="H33">
            <v>37</v>
          </cell>
        </row>
        <row r="34">
          <cell r="C34" t="str">
            <v>R152</v>
          </cell>
          <cell r="D34" t="str">
            <v>C:\Program files\GaspakDemo5\R152AT94.gas</v>
          </cell>
          <cell r="H34">
            <v>38</v>
          </cell>
        </row>
        <row r="35">
          <cell r="C35" t="str">
            <v>R22</v>
          </cell>
          <cell r="D35" t="str">
            <v>C:\Program files\GaspakDemo5\R2291.gas</v>
          </cell>
          <cell r="H35">
            <v>31</v>
          </cell>
        </row>
        <row r="36">
          <cell r="C36" t="str">
            <v>R32</v>
          </cell>
          <cell r="D36" t="str">
            <v>C:\Program files\GaspakDemo5\R32N93.gas</v>
          </cell>
          <cell r="H36">
            <v>32</v>
          </cell>
        </row>
        <row r="37">
          <cell r="C37" t="str">
            <v>R32</v>
          </cell>
          <cell r="D37" t="str">
            <v>C:\Program files\GaspakDemo5\R32N94.gas</v>
          </cell>
          <cell r="H37">
            <v>50</v>
          </cell>
        </row>
        <row r="38">
          <cell r="C38" t="str">
            <v>Xénon</v>
          </cell>
          <cell r="D38" t="str">
            <v>C:\Program files\GaspakDemo5\\XE90.gas</v>
          </cell>
          <cell r="H38">
            <v>28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CV301"/>
      <sheetName val="Fluids"/>
      <sheetName val="Data base"/>
      <sheetName val="FCV3110-Nm3(Refprop)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CV301"/>
      <sheetName val="Fluids"/>
      <sheetName val="Data base"/>
      <sheetName val="FCV3110-Nm3(Refprop)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</sheetData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ltaP et thermique"/>
      <sheetName val="Ajout Bloc HX"/>
      <sheetName val="Fluides"/>
      <sheetName val="Infos (2)"/>
      <sheetName val="Feuil1"/>
    </sheetNames>
    <sheetDataSet>
      <sheetData sheetId="0" refreshError="1"/>
      <sheetData sheetId="1" refreshError="1"/>
      <sheetData sheetId="2" refreshError="1">
        <row r="2">
          <cell r="C2" t="str">
            <v>Ammoniac</v>
          </cell>
        </row>
        <row r="3">
          <cell r="C3" t="str">
            <v>Argon</v>
          </cell>
        </row>
        <row r="4">
          <cell r="C4" t="str">
            <v>Azote</v>
          </cell>
        </row>
        <row r="5">
          <cell r="C5" t="str">
            <v>Azote</v>
          </cell>
        </row>
        <row r="6">
          <cell r="C6" t="str">
            <v>Butane Normal</v>
          </cell>
        </row>
        <row r="7">
          <cell r="C7" t="str">
            <v>Deutérium</v>
          </cell>
        </row>
        <row r="8">
          <cell r="C8" t="str">
            <v>Dioxide de carbone</v>
          </cell>
        </row>
        <row r="9">
          <cell r="C9" t="str">
            <v>Eau</v>
          </cell>
        </row>
        <row r="10">
          <cell r="C10" t="str">
            <v>Ethane</v>
          </cell>
        </row>
        <row r="11">
          <cell r="C11" t="str">
            <v>Ethylène</v>
          </cell>
        </row>
        <row r="12">
          <cell r="C12" t="str">
            <v>Ethylène</v>
          </cell>
        </row>
        <row r="13">
          <cell r="C13" t="str">
            <v>Helium</v>
          </cell>
        </row>
        <row r="14">
          <cell r="C14" t="str">
            <v>Hydrogen Sulfide</v>
          </cell>
        </row>
        <row r="15">
          <cell r="C15" t="str">
            <v>Isobutane</v>
          </cell>
        </row>
        <row r="16">
          <cell r="C16" t="str">
            <v>Krypton</v>
          </cell>
        </row>
        <row r="17">
          <cell r="C17" t="str">
            <v>Méthane</v>
          </cell>
        </row>
        <row r="18">
          <cell r="C18" t="str">
            <v>Méthane</v>
          </cell>
        </row>
        <row r="19">
          <cell r="C19" t="str">
            <v>Monoxide de carbone</v>
          </cell>
        </row>
        <row r="20">
          <cell r="C20" t="str">
            <v>Néon</v>
          </cell>
        </row>
        <row r="21">
          <cell r="C21" t="str">
            <v>Nitrogene Trifluoride</v>
          </cell>
        </row>
        <row r="22">
          <cell r="C22" t="str">
            <v>Normal Hydrogene</v>
          </cell>
        </row>
        <row r="23">
          <cell r="C23" t="str">
            <v>Oxygène</v>
          </cell>
        </row>
        <row r="24">
          <cell r="C24" t="str">
            <v>Oxygène</v>
          </cell>
        </row>
        <row r="25">
          <cell r="C25" t="str">
            <v>ParaHydrogène</v>
          </cell>
        </row>
        <row r="26">
          <cell r="C26" t="str">
            <v>Propane</v>
          </cell>
        </row>
        <row r="27">
          <cell r="C27" t="str">
            <v>R11</v>
          </cell>
        </row>
        <row r="28">
          <cell r="C28" t="str">
            <v>R12</v>
          </cell>
        </row>
        <row r="29">
          <cell r="C29" t="str">
            <v>R123</v>
          </cell>
        </row>
        <row r="30">
          <cell r="C30" t="str">
            <v>R124</v>
          </cell>
        </row>
        <row r="31">
          <cell r="C31" t="str">
            <v>R125</v>
          </cell>
        </row>
        <row r="32">
          <cell r="C32" t="str">
            <v>R134</v>
          </cell>
        </row>
        <row r="33">
          <cell r="C33" t="str">
            <v>R134</v>
          </cell>
        </row>
        <row r="34">
          <cell r="C34" t="str">
            <v>R152</v>
          </cell>
        </row>
        <row r="35">
          <cell r="C35" t="str">
            <v>R22</v>
          </cell>
        </row>
        <row r="36">
          <cell r="C36" t="str">
            <v>R32</v>
          </cell>
        </row>
        <row r="37">
          <cell r="C37" t="str">
            <v>R32</v>
          </cell>
        </row>
        <row r="38">
          <cell r="C38" t="str">
            <v>Xénon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et calculs"/>
      <sheetName val="Hypothèse col sonique"/>
      <sheetName val="Unités SI"/>
      <sheetName val="Tableaux"/>
      <sheetName val="Info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Fluides"/>
      <sheetName val="Property GasPak"/>
      <sheetName val="Property HePak"/>
    </sheetNames>
    <definedNames>
      <definedName name="cp_"/>
      <definedName name="cp_304"/>
      <definedName name="cp_alu"/>
      <definedName name="Cv_"/>
      <definedName name="FConstant"/>
      <definedName name="FluidProperties"/>
      <definedName name="g_"/>
      <definedName name="H_"/>
      <definedName name="lambda_"/>
      <definedName name="lambda_304L"/>
      <definedName name="lambda_alu"/>
      <definedName name="mu_"/>
      <definedName name="P_sat"/>
      <definedName name="Rho_"/>
      <definedName name="S_"/>
      <definedName name="sound_speed"/>
      <definedName name="T_P_H_"/>
      <definedName name="T_sat"/>
      <definedName name="T2_turb"/>
      <definedName name="U_"/>
      <definedName name="Z_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13" Type="http://schemas.openxmlformats.org/officeDocument/2006/relationships/oleObject" Target="../embeddings/oleObject12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6.bin"/><Relationship Id="rId12" Type="http://schemas.openxmlformats.org/officeDocument/2006/relationships/oleObject" Target="../embeddings/oleObject11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5.bin"/><Relationship Id="rId11" Type="http://schemas.openxmlformats.org/officeDocument/2006/relationships/oleObject" Target="../embeddings/oleObject10.bin"/><Relationship Id="rId5" Type="http://schemas.openxmlformats.org/officeDocument/2006/relationships/oleObject" Target="../embeddings/oleObject4.bin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3.bin"/><Relationship Id="rId9" Type="http://schemas.openxmlformats.org/officeDocument/2006/relationships/oleObject" Target="../embeddings/oleObject8.bin"/><Relationship Id="rId14" Type="http://schemas.openxmlformats.org/officeDocument/2006/relationships/oleObject" Target="../embeddings/oleObject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2"/>
  <sheetViews>
    <sheetView zoomScale="85" zoomScaleNormal="85" workbookViewId="0">
      <selection activeCell="C52" sqref="C52"/>
    </sheetView>
  </sheetViews>
  <sheetFormatPr defaultRowHeight="12.75"/>
  <cols>
    <col min="1" max="15" width="9.140625" style="1182"/>
    <col min="16" max="16" width="11.85546875" style="1182" customWidth="1"/>
    <col min="17" max="17" width="10" style="1182" bestFit="1" customWidth="1"/>
    <col min="18" max="18" width="11.7109375" style="1182" bestFit="1" customWidth="1"/>
    <col min="19" max="19" width="10" style="1182" bestFit="1" customWidth="1"/>
    <col min="20" max="20" width="11.7109375" style="1182" bestFit="1" customWidth="1"/>
    <col min="21" max="21" width="14.85546875" style="1182" customWidth="1"/>
    <col min="22" max="22" width="10" style="1182" bestFit="1" customWidth="1"/>
    <col min="23" max="23" width="11.7109375" style="1182" bestFit="1" customWidth="1"/>
    <col min="24" max="24" width="10" style="1182" bestFit="1" customWidth="1"/>
    <col min="25" max="16384" width="9.140625" style="1182"/>
  </cols>
  <sheetData>
    <row r="1" spans="1:27">
      <c r="A1" s="1184" t="s">
        <v>995</v>
      </c>
      <c r="B1" s="1185" t="s">
        <v>830</v>
      </c>
      <c r="C1" s="1185"/>
      <c r="D1" s="1184" t="s">
        <v>996</v>
      </c>
      <c r="E1" s="1185" t="s">
        <v>997</v>
      </c>
      <c r="F1" s="1186"/>
      <c r="G1" s="1184" t="s">
        <v>998</v>
      </c>
      <c r="H1" s="1185" t="s">
        <v>999</v>
      </c>
      <c r="I1" s="1186"/>
      <c r="J1" s="1186"/>
      <c r="K1" s="1186"/>
      <c r="L1" s="1187"/>
      <c r="M1" s="1186"/>
      <c r="N1" s="1187"/>
      <c r="O1" s="1187"/>
      <c r="P1" s="1187"/>
      <c r="Q1" s="1187"/>
      <c r="R1" s="1187"/>
    </row>
    <row r="2" spans="1:27">
      <c r="A2" s="1184" t="s">
        <v>1000</v>
      </c>
      <c r="B2" s="1188"/>
      <c r="C2" s="1188"/>
      <c r="D2" s="1184" t="s">
        <v>1001</v>
      </c>
      <c r="E2" s="1189">
        <v>40563</v>
      </c>
      <c r="F2" s="1188"/>
      <c r="G2" s="1188"/>
      <c r="H2" s="1188"/>
      <c r="I2" s="1188"/>
      <c r="J2" s="1188"/>
      <c r="K2" s="1188"/>
      <c r="L2" s="1190"/>
      <c r="M2" s="1188"/>
      <c r="N2" s="1188"/>
      <c r="O2" s="1188"/>
      <c r="P2" s="1190"/>
      <c r="Q2" s="1190"/>
      <c r="R2" s="1190"/>
    </row>
    <row r="3" spans="1:27">
      <c r="A3" s="1190"/>
      <c r="B3" s="1188"/>
      <c r="C3" s="1188"/>
      <c r="D3" s="1188"/>
      <c r="E3" s="1188"/>
      <c r="F3" s="1188"/>
      <c r="G3" s="1188"/>
      <c r="H3" s="1188"/>
      <c r="I3" s="1188"/>
      <c r="J3" s="1188"/>
      <c r="K3" s="1188"/>
      <c r="L3" s="1190"/>
      <c r="M3" s="1188"/>
      <c r="N3" s="1188"/>
      <c r="O3" s="1188"/>
      <c r="P3" s="1190"/>
      <c r="Q3" s="1190"/>
      <c r="R3" s="1190"/>
    </row>
    <row r="4" spans="1:27" ht="15.75">
      <c r="A4" s="1191" t="s">
        <v>1002</v>
      </c>
      <c r="B4" s="1192"/>
      <c r="C4" s="1192"/>
      <c r="D4" s="1192"/>
      <c r="E4" s="1192"/>
      <c r="F4" s="1192"/>
      <c r="G4" s="1192"/>
      <c r="H4" s="1192"/>
      <c r="I4" s="1192"/>
      <c r="J4" s="1192"/>
      <c r="K4" s="1192"/>
      <c r="L4" s="1192"/>
      <c r="M4" s="1192"/>
      <c r="N4" s="1192"/>
      <c r="O4" s="1192"/>
      <c r="P4" s="1192"/>
      <c r="Q4" s="1192"/>
      <c r="R4" s="1192"/>
    </row>
    <row r="5" spans="1:27">
      <c r="A5" s="1184"/>
      <c r="B5" s="1185"/>
      <c r="C5" s="1185"/>
      <c r="D5" s="1185"/>
      <c r="E5" s="1185"/>
      <c r="F5" s="1185"/>
      <c r="G5" s="1185"/>
      <c r="H5" s="1185"/>
      <c r="I5" s="1185"/>
      <c r="J5" s="1185"/>
      <c r="K5" s="1185"/>
      <c r="L5" s="1185"/>
      <c r="M5" s="1193" t="s">
        <v>1003</v>
      </c>
      <c r="N5" s="1193"/>
      <c r="O5" s="1193"/>
      <c r="P5" s="1185"/>
      <c r="Q5" s="1185"/>
      <c r="R5" s="1185"/>
    </row>
    <row r="6" spans="1:27" ht="45">
      <c r="A6" s="1194" t="s">
        <v>857</v>
      </c>
      <c r="B6" s="1195" t="s">
        <v>1004</v>
      </c>
      <c r="C6" s="1195"/>
      <c r="D6" s="1195" t="s">
        <v>1005</v>
      </c>
      <c r="E6" s="1195"/>
      <c r="F6" s="1195" t="s">
        <v>1006</v>
      </c>
      <c r="G6" s="1195" t="s">
        <v>1007</v>
      </c>
      <c r="H6" s="1195" t="s">
        <v>1008</v>
      </c>
      <c r="I6" s="1195" t="s">
        <v>1009</v>
      </c>
      <c r="J6" s="1195" t="s">
        <v>1010</v>
      </c>
      <c r="K6" s="1195" t="s">
        <v>1011</v>
      </c>
      <c r="L6" s="1195" t="s">
        <v>1012</v>
      </c>
      <c r="M6" s="1196" t="s">
        <v>1013</v>
      </c>
      <c r="N6" s="1196" t="s">
        <v>1014</v>
      </c>
      <c r="O6" s="1196" t="s">
        <v>1015</v>
      </c>
      <c r="P6" s="1195"/>
      <c r="Q6" s="1195"/>
      <c r="R6" s="1195"/>
    </row>
    <row r="7" spans="1:27">
      <c r="A7" s="1197"/>
      <c r="B7" s="1198" t="s">
        <v>803</v>
      </c>
      <c r="C7" s="1198"/>
      <c r="D7" s="1198" t="s">
        <v>1016</v>
      </c>
      <c r="E7" s="1198"/>
      <c r="F7" s="1198" t="s">
        <v>303</v>
      </c>
      <c r="G7" s="1198" t="s">
        <v>1017</v>
      </c>
      <c r="H7" s="1198" t="s">
        <v>303</v>
      </c>
      <c r="I7" s="1198" t="s">
        <v>552</v>
      </c>
      <c r="J7" s="1198" t="s">
        <v>1017</v>
      </c>
      <c r="K7" s="1198" t="s">
        <v>381</v>
      </c>
      <c r="L7" s="1198" t="s">
        <v>1018</v>
      </c>
      <c r="M7" s="1199" t="s">
        <v>303</v>
      </c>
      <c r="N7" s="1199" t="s">
        <v>1017</v>
      </c>
      <c r="O7" s="1199" t="s">
        <v>381</v>
      </c>
      <c r="P7" s="1198" t="s">
        <v>1026</v>
      </c>
      <c r="Q7" s="1198" t="s">
        <v>1023</v>
      </c>
      <c r="R7" s="1198" t="s">
        <v>806</v>
      </c>
      <c r="S7" s="1198" t="s">
        <v>1024</v>
      </c>
      <c r="T7" s="1198" t="s">
        <v>375</v>
      </c>
      <c r="U7" s="1198" t="s">
        <v>1025</v>
      </c>
      <c r="V7" s="1198"/>
      <c r="W7" s="1198" t="s">
        <v>1027</v>
      </c>
      <c r="X7" s="1198"/>
      <c r="Z7" s="1183" t="s">
        <v>221</v>
      </c>
    </row>
    <row r="8" spans="1:27">
      <c r="A8" s="1184" t="s">
        <v>21</v>
      </c>
      <c r="B8" s="1188">
        <v>200</v>
      </c>
      <c r="C8" s="1200">
        <f t="shared" ref="C8:C16" si="0">B8/$B$8</f>
        <v>1</v>
      </c>
      <c r="D8" s="1188">
        <v>3220</v>
      </c>
      <c r="E8" s="1200">
        <f>D8/$D$8</f>
        <v>1</v>
      </c>
      <c r="F8" s="1188">
        <v>40</v>
      </c>
      <c r="G8" s="1188">
        <v>1050</v>
      </c>
      <c r="H8" s="1188">
        <v>56.71</v>
      </c>
      <c r="I8" s="1201">
        <v>86</v>
      </c>
      <c r="J8" s="1188">
        <f t="shared" ref="J8:J16" si="1">G8+I8</f>
        <v>1136</v>
      </c>
      <c r="K8" s="1188">
        <v>2.1970000000000001</v>
      </c>
      <c r="L8" s="1188">
        <v>82</v>
      </c>
      <c r="M8" s="1202">
        <v>139.9</v>
      </c>
      <c r="N8" s="1202">
        <v>1345</v>
      </c>
      <c r="O8" s="1202">
        <v>4.0999999999999996</v>
      </c>
      <c r="P8" s="1218">
        <f>(J8/G8)^((1.6665-1)/1.6665)*(273.15+F8)-273.15</f>
        <v>50.016234123523589</v>
      </c>
      <c r="Q8" s="1218">
        <f>[9]!Rho_(11,1,273.15)</f>
        <v>0.17615495053003022</v>
      </c>
      <c r="R8" s="1218">
        <f t="shared" ref="R8:R16" si="2">B8*Q8</f>
        <v>35.230990106006047</v>
      </c>
      <c r="S8" s="1218">
        <f>[9]!Rho_(11,1.15,F8+273.15)</f>
        <v>0.17670334954157724</v>
      </c>
      <c r="T8" s="1218">
        <f>R8/S8</f>
        <v>199.37929981183751</v>
      </c>
      <c r="U8" s="1218">
        <f>$T$11*V8</f>
        <v>203.71018990827656</v>
      </c>
      <c r="V8" s="1218">
        <f>D8/$D$11</f>
        <v>0.94622392007052603</v>
      </c>
      <c r="W8" s="1218">
        <f>$Y$11*S8*T8^2</f>
        <v>79.645214582090674</v>
      </c>
      <c r="X8" s="1218">
        <f t="shared" ref="X8:X16" si="3">[9]!cp_(11,1.15,F8+273.15)/[9]!Cv_(11,1.15,F8+273.15)</f>
        <v>1.6665330068639903</v>
      </c>
      <c r="Z8" s="1226">
        <f>D8/60</f>
        <v>53.666666666666664</v>
      </c>
    </row>
    <row r="9" spans="1:27">
      <c r="A9" s="1184"/>
      <c r="B9" s="1188">
        <v>150</v>
      </c>
      <c r="C9" s="1200">
        <f t="shared" si="0"/>
        <v>0.75</v>
      </c>
      <c r="D9" s="1188">
        <v>2410</v>
      </c>
      <c r="E9" s="1200">
        <f>D9/$D$8</f>
        <v>0.74844720496894412</v>
      </c>
      <c r="F9" s="1188">
        <v>40</v>
      </c>
      <c r="G9" s="1188">
        <v>1050</v>
      </c>
      <c r="H9" s="1188">
        <v>49.3</v>
      </c>
      <c r="I9" s="1188">
        <v>50</v>
      </c>
      <c r="J9" s="1188">
        <f t="shared" si="1"/>
        <v>1100</v>
      </c>
      <c r="K9" s="1188">
        <v>1.4</v>
      </c>
      <c r="L9" s="1188">
        <v>80</v>
      </c>
      <c r="M9" s="1202"/>
      <c r="N9" s="1202"/>
      <c r="O9" s="1202"/>
      <c r="P9" s="1218">
        <f>(J9/G9)^((1.6665-1)/1.6665)*(273.15+F9)-273.15</f>
        <v>45.880759769302415</v>
      </c>
      <c r="Q9" s="1218">
        <f>[9]!Rho_(11,1,273.15)</f>
        <v>0.17615495053003022</v>
      </c>
      <c r="R9" s="1218">
        <f t="shared" si="2"/>
        <v>26.423242579504532</v>
      </c>
      <c r="S9" s="1218">
        <f>[9]!Rho_(11,1.15,F9+273.15)</f>
        <v>0.17670334954157724</v>
      </c>
      <c r="T9" s="1218">
        <f t="shared" ref="T9:T14" si="4">R9/S9</f>
        <v>149.5344748588781</v>
      </c>
      <c r="U9" s="1218">
        <f>$T$11*V9</f>
        <v>152.4663222605424</v>
      </c>
      <c r="V9" s="1218">
        <f>D9/$D$11</f>
        <v>0.70819864825154277</v>
      </c>
      <c r="W9" s="1218">
        <f>$Y$11*S9*T9^2</f>
        <v>44.800433202425978</v>
      </c>
      <c r="X9" s="1218">
        <f t="shared" si="3"/>
        <v>1.6665330068639903</v>
      </c>
      <c r="Z9" s="1226">
        <f t="shared" ref="Z9:Z37" si="5">D9/60</f>
        <v>40.166666666666664</v>
      </c>
    </row>
    <row r="10" spans="1:27">
      <c r="A10" s="1184"/>
      <c r="B10" s="1203">
        <v>100</v>
      </c>
      <c r="C10" s="1204">
        <f t="shared" si="0"/>
        <v>0.5</v>
      </c>
      <c r="D10" s="1203">
        <v>1642</v>
      </c>
      <c r="E10" s="1204">
        <f>D10/$D$8</f>
        <v>0.50993788819875774</v>
      </c>
      <c r="F10" s="1203">
        <v>40</v>
      </c>
      <c r="G10" s="1203">
        <v>1050</v>
      </c>
      <c r="H10" s="1203">
        <v>44.7</v>
      </c>
      <c r="I10" s="1203">
        <v>25</v>
      </c>
      <c r="J10" s="1203">
        <f t="shared" si="1"/>
        <v>1075</v>
      </c>
      <c r="K10" s="1203">
        <v>0.8</v>
      </c>
      <c r="L10" s="1203">
        <v>77</v>
      </c>
      <c r="M10" s="1199"/>
      <c r="N10" s="1199"/>
      <c r="O10" s="1199"/>
      <c r="P10" s="1219">
        <f t="shared" ref="P10:P16" si="6">(J10/G10)^((1.6665-1)/1.6665)*(273.15+F10)-273.15</f>
        <v>42.960898286293798</v>
      </c>
      <c r="Q10" s="1219">
        <f>[9]!Rho_(11,1,273.15)</f>
        <v>0.17615495053003022</v>
      </c>
      <c r="R10" s="1219">
        <f t="shared" si="2"/>
        <v>17.615495053003023</v>
      </c>
      <c r="S10" s="1219">
        <f>[9]!Rho_(11,1.15,F10+273.15)</f>
        <v>0.17670334954157724</v>
      </c>
      <c r="T10" s="1219">
        <f t="shared" si="4"/>
        <v>99.689649905918756</v>
      </c>
      <c r="U10" s="1219">
        <f>$T$11*V10</f>
        <v>103.87954404639444</v>
      </c>
      <c r="V10" s="1219">
        <f>D10/$D$11</f>
        <v>0.48251542756391419</v>
      </c>
      <c r="W10" s="1219">
        <f>$Y$11*S10*T10^2</f>
        <v>19.911303645522668</v>
      </c>
      <c r="X10" s="1219">
        <f t="shared" si="3"/>
        <v>1.6665330068639903</v>
      </c>
      <c r="Z10" s="1226">
        <f t="shared" si="5"/>
        <v>27.366666666666667</v>
      </c>
    </row>
    <row r="11" spans="1:27" s="1217" customFormat="1">
      <c r="A11" s="1221" t="s">
        <v>642</v>
      </c>
      <c r="B11" s="1205">
        <v>200</v>
      </c>
      <c r="C11" s="1211">
        <f t="shared" si="0"/>
        <v>1</v>
      </c>
      <c r="D11" s="1205">
        <v>3403</v>
      </c>
      <c r="E11" s="1211">
        <f t="shared" ref="E11:E16" si="7">D11/$D$11</f>
        <v>1</v>
      </c>
      <c r="F11" s="1205">
        <v>65</v>
      </c>
      <c r="G11" s="1205">
        <v>1050</v>
      </c>
      <c r="H11" s="1205">
        <v>81.900000000000006</v>
      </c>
      <c r="I11" s="1223">
        <v>86</v>
      </c>
      <c r="J11" s="1205">
        <f t="shared" si="1"/>
        <v>1136</v>
      </c>
      <c r="K11" s="1205">
        <v>2.2999999999999998</v>
      </c>
      <c r="L11" s="1205">
        <v>85</v>
      </c>
      <c r="M11" s="1212">
        <v>140.19999999999999</v>
      </c>
      <c r="N11" s="1212">
        <v>1295</v>
      </c>
      <c r="O11" s="1212">
        <v>3.9</v>
      </c>
      <c r="P11" s="1222">
        <f t="shared" si="6"/>
        <v>75.815869611590301</v>
      </c>
      <c r="Q11" s="1222">
        <f>[9]!Rho_(11,1,273.15)</f>
        <v>0.17615495053003022</v>
      </c>
      <c r="R11" s="1222">
        <f t="shared" si="2"/>
        <v>35.230990106006047</v>
      </c>
      <c r="S11" s="1222">
        <f>[9]!Rho_(11,1.15,F11+273.15)</f>
        <v>0.16364623478619875</v>
      </c>
      <c r="T11" s="1222">
        <f t="shared" si="4"/>
        <v>215.28750815461649</v>
      </c>
      <c r="U11" s="1225">
        <f t="shared" ref="U11:U16" si="8">$T$11*V11</f>
        <v>215.28750815461649</v>
      </c>
      <c r="V11" s="1222">
        <v>1</v>
      </c>
      <c r="W11" s="1222">
        <f>I11</f>
        <v>86</v>
      </c>
      <c r="X11" s="1222">
        <f t="shared" si="3"/>
        <v>1.6665422108968535</v>
      </c>
      <c r="Y11" s="1217">
        <f>W11/(S11*T11^2)</f>
        <v>1.1338478261398858E-2</v>
      </c>
      <c r="Z11" s="1226">
        <f t="shared" si="5"/>
        <v>56.716666666666669</v>
      </c>
      <c r="AA11" s="1182"/>
    </row>
    <row r="12" spans="1:27">
      <c r="A12" s="1184"/>
      <c r="B12" s="1188">
        <v>150</v>
      </c>
      <c r="C12" s="1200">
        <f t="shared" si="0"/>
        <v>0.75</v>
      </c>
      <c r="D12" s="1188">
        <v>2567</v>
      </c>
      <c r="E12" s="1200">
        <f t="shared" si="7"/>
        <v>0.75433441081398767</v>
      </c>
      <c r="F12" s="1188">
        <v>65</v>
      </c>
      <c r="G12" s="1188">
        <v>1050</v>
      </c>
      <c r="H12" s="1188">
        <v>74.900000000000006</v>
      </c>
      <c r="I12" s="1188">
        <v>50</v>
      </c>
      <c r="J12" s="1188">
        <f t="shared" si="1"/>
        <v>1100</v>
      </c>
      <c r="K12" s="1188">
        <v>1.4</v>
      </c>
      <c r="L12" s="1188">
        <v>83</v>
      </c>
      <c r="M12" s="1202"/>
      <c r="N12" s="1202"/>
      <c r="O12" s="1202"/>
      <c r="P12" s="1218">
        <f t="shared" si="6"/>
        <v>71.350244023597668</v>
      </c>
      <c r="Q12" s="1218">
        <f>[9]!Rho_(11,1,273.15)</f>
        <v>0.17615495053003022</v>
      </c>
      <c r="R12" s="1218">
        <f t="shared" si="2"/>
        <v>26.423242579504532</v>
      </c>
      <c r="S12" s="1218">
        <f>[9]!Rho_(11,1.15,F12+273.15)</f>
        <v>0.16364623478619875</v>
      </c>
      <c r="T12" s="1218">
        <f t="shared" si="4"/>
        <v>161.46563111596234</v>
      </c>
      <c r="U12" s="1218">
        <f t="shared" si="8"/>
        <v>162.39877561942419</v>
      </c>
      <c r="V12" s="1218">
        <f>D12/$D$11</f>
        <v>0.75433441081398767</v>
      </c>
      <c r="W12" s="1218">
        <f>$Y$11*S12*T12^2</f>
        <v>48.374999999999986</v>
      </c>
      <c r="X12" s="1218">
        <f t="shared" si="3"/>
        <v>1.6665422108968535</v>
      </c>
      <c r="Z12" s="1226">
        <f t="shared" si="5"/>
        <v>42.783333333333331</v>
      </c>
    </row>
    <row r="13" spans="1:27">
      <c r="A13" s="1184"/>
      <c r="B13" s="1203">
        <v>100</v>
      </c>
      <c r="C13" s="1204">
        <f t="shared" si="0"/>
        <v>0.5</v>
      </c>
      <c r="D13" s="1203">
        <v>1748</v>
      </c>
      <c r="E13" s="1204">
        <f t="shared" si="7"/>
        <v>0.51366441375257121</v>
      </c>
      <c r="F13" s="1203">
        <v>65</v>
      </c>
      <c r="G13" s="1203">
        <v>1050</v>
      </c>
      <c r="H13" s="1203">
        <v>70</v>
      </c>
      <c r="I13" s="1203">
        <v>25</v>
      </c>
      <c r="J13" s="1203">
        <f t="shared" si="1"/>
        <v>1075</v>
      </c>
      <c r="K13" s="1203">
        <v>0.9</v>
      </c>
      <c r="L13" s="1203">
        <v>76</v>
      </c>
      <c r="M13" s="1199"/>
      <c r="N13" s="1199"/>
      <c r="O13" s="1199"/>
      <c r="P13" s="1219">
        <f t="shared" si="6"/>
        <v>68.197278478397777</v>
      </c>
      <c r="Q13" s="1219">
        <f>[9]!Rho_(11,1,273.15)</f>
        <v>0.17615495053003022</v>
      </c>
      <c r="R13" s="1219">
        <f t="shared" si="2"/>
        <v>17.615495053003023</v>
      </c>
      <c r="S13" s="1219">
        <f>[9]!Rho_(11,1.15,F13+273.15)</f>
        <v>0.16364623478619875</v>
      </c>
      <c r="T13" s="1219">
        <f t="shared" si="4"/>
        <v>107.64375407730824</v>
      </c>
      <c r="U13" s="1219">
        <f t="shared" si="8"/>
        <v>110.58553166449298</v>
      </c>
      <c r="V13" s="1219">
        <f>D13/$D$11</f>
        <v>0.51366441375257121</v>
      </c>
      <c r="W13" s="1219">
        <f>$Y$11*S13*T13^2</f>
        <v>21.5</v>
      </c>
      <c r="X13" s="1219">
        <f t="shared" si="3"/>
        <v>1.6665422108968535</v>
      </c>
      <c r="Z13" s="1226">
        <f t="shared" si="5"/>
        <v>29.133333333333333</v>
      </c>
    </row>
    <row r="14" spans="1:27">
      <c r="A14" s="1184" t="s">
        <v>642</v>
      </c>
      <c r="B14" s="1188">
        <v>200</v>
      </c>
      <c r="C14" s="1200">
        <f t="shared" si="0"/>
        <v>1</v>
      </c>
      <c r="D14" s="1188">
        <v>2813</v>
      </c>
      <c r="E14" s="1200">
        <f t="shared" si="7"/>
        <v>0.8266235674404937</v>
      </c>
      <c r="F14" s="1188">
        <v>-5</v>
      </c>
      <c r="G14" s="1188">
        <v>1050</v>
      </c>
      <c r="H14" s="1188">
        <v>8.9</v>
      </c>
      <c r="I14" s="1201">
        <v>86</v>
      </c>
      <c r="J14" s="1188">
        <f t="shared" si="1"/>
        <v>1136</v>
      </c>
      <c r="K14" s="1188">
        <v>1.9</v>
      </c>
      <c r="L14" s="1188">
        <v>84</v>
      </c>
      <c r="M14" s="1202" t="s">
        <v>642</v>
      </c>
      <c r="N14" s="1202" t="s">
        <v>642</v>
      </c>
      <c r="O14" s="1202" t="s">
        <v>642</v>
      </c>
      <c r="P14" s="1218">
        <f t="shared" si="6"/>
        <v>3.576890245003483</v>
      </c>
      <c r="Q14" s="1218">
        <f>[9]!Rho_(11,1,273.15)</f>
        <v>0.17615495053003022</v>
      </c>
      <c r="R14" s="1218">
        <f t="shared" si="2"/>
        <v>35.230990106006047</v>
      </c>
      <c r="S14" s="1218">
        <f>[9]!Rho_(11,1.15,F14+273.15)</f>
        <v>0.20633728186109457</v>
      </c>
      <c r="T14" s="1218">
        <f t="shared" si="4"/>
        <v>170.7446651823368</v>
      </c>
      <c r="U14" s="1218">
        <f t="shared" si="8"/>
        <v>177.96172801614347</v>
      </c>
      <c r="V14" s="1218">
        <f>D14/$D$11</f>
        <v>0.8266235674404937</v>
      </c>
      <c r="W14" s="1218">
        <f>$Y$11*S14*T14^2</f>
        <v>68.206656909861636</v>
      </c>
      <c r="X14" s="1218">
        <f t="shared" si="3"/>
        <v>1.6665141451475054</v>
      </c>
      <c r="Z14" s="1226">
        <f t="shared" si="5"/>
        <v>46.883333333333333</v>
      </c>
    </row>
    <row r="15" spans="1:27">
      <c r="A15" s="1184"/>
      <c r="B15" s="1188">
        <v>150</v>
      </c>
      <c r="C15" s="1200">
        <f t="shared" si="0"/>
        <v>0.75</v>
      </c>
      <c r="D15" s="1188">
        <v>2122</v>
      </c>
      <c r="E15" s="1200">
        <f t="shared" si="7"/>
        <v>0.62356744049368207</v>
      </c>
      <c r="F15" s="1188">
        <v>-5</v>
      </c>
      <c r="G15" s="1188">
        <v>1050</v>
      </c>
      <c r="H15" s="1188">
        <v>3.2</v>
      </c>
      <c r="I15" s="1188">
        <v>50</v>
      </c>
      <c r="J15" s="1188">
        <f t="shared" si="1"/>
        <v>1100</v>
      </c>
      <c r="K15" s="1188">
        <v>1.2</v>
      </c>
      <c r="L15" s="1188">
        <v>79</v>
      </c>
      <c r="M15" s="1202"/>
      <c r="N15" s="1202"/>
      <c r="O15" s="1202"/>
      <c r="P15" s="1218">
        <f t="shared" si="6"/>
        <v>3.5688111570948422E-2</v>
      </c>
      <c r="Q15" s="1218">
        <f>[9]!Rho_(11,1,273.15)</f>
        <v>0.17615495053003022</v>
      </c>
      <c r="R15" s="1218">
        <f t="shared" si="2"/>
        <v>26.423242579504532</v>
      </c>
      <c r="S15" s="1218">
        <f>[9]!Rho_(11,1.15,F15+273.15)</f>
        <v>0.20633728186109457</v>
      </c>
      <c r="T15" s="1218">
        <f>R15/S15</f>
        <v>128.05849888675257</v>
      </c>
      <c r="U15" s="1218">
        <f t="shared" si="8"/>
        <v>134.24628043023691</v>
      </c>
      <c r="V15" s="1218">
        <f>D15/$D$11</f>
        <v>0.62356744049368207</v>
      </c>
      <c r="W15" s="1218">
        <f>$Y$11*S15*T15^2</f>
        <v>38.366244511797156</v>
      </c>
      <c r="X15" s="1218">
        <f t="shared" si="3"/>
        <v>1.6665141451475054</v>
      </c>
      <c r="Z15" s="1226">
        <f t="shared" si="5"/>
        <v>35.366666666666667</v>
      </c>
    </row>
    <row r="16" spans="1:27">
      <c r="A16" s="1184"/>
      <c r="B16" s="1203">
        <v>100</v>
      </c>
      <c r="C16" s="1204">
        <f t="shared" si="0"/>
        <v>0.5</v>
      </c>
      <c r="D16" s="1206">
        <v>1447</v>
      </c>
      <c r="E16" s="1204">
        <f t="shared" si="7"/>
        <v>0.42521304731119602</v>
      </c>
      <c r="F16" s="1203">
        <v>-5</v>
      </c>
      <c r="G16" s="1203">
        <v>1050</v>
      </c>
      <c r="H16" s="1203">
        <v>-0.8</v>
      </c>
      <c r="I16" s="1203">
        <v>25</v>
      </c>
      <c r="J16" s="1203">
        <f t="shared" si="1"/>
        <v>1075</v>
      </c>
      <c r="K16" s="1203">
        <v>0.7</v>
      </c>
      <c r="L16" s="1203">
        <v>74</v>
      </c>
      <c r="M16" s="1199"/>
      <c r="N16" s="1199"/>
      <c r="O16" s="1199"/>
      <c r="P16" s="1219">
        <f t="shared" si="6"/>
        <v>-2.4645860594932287</v>
      </c>
      <c r="Q16" s="1219">
        <f>[9]!Rho_(11,1,273.15)</f>
        <v>0.17615495053003022</v>
      </c>
      <c r="R16" s="1219">
        <f t="shared" si="2"/>
        <v>17.615495053003023</v>
      </c>
      <c r="S16" s="1219">
        <f>[9]!Rho_(11,1.15,F16+273.15)</f>
        <v>0.20633728186109457</v>
      </c>
      <c r="T16" s="1219">
        <f>R16/S16</f>
        <v>85.372332591168401</v>
      </c>
      <c r="U16" s="1219">
        <f t="shared" si="8"/>
        <v>91.543057390458443</v>
      </c>
      <c r="V16" s="1219">
        <f>D16/$D$11</f>
        <v>0.42521304731119602</v>
      </c>
      <c r="W16" s="1219">
        <f>$Y$11*S16*T16^2</f>
        <v>17.051664227465409</v>
      </c>
      <c r="X16" s="1219">
        <f t="shared" si="3"/>
        <v>1.6665141451475054</v>
      </c>
      <c r="Z16" s="1226">
        <f t="shared" si="5"/>
        <v>24.116666666666667</v>
      </c>
    </row>
    <row r="17" spans="1:26">
      <c r="A17" s="1184"/>
      <c r="B17" s="1188"/>
      <c r="C17" s="1200"/>
      <c r="D17" s="1188"/>
      <c r="E17" s="1200"/>
      <c r="F17" s="1188"/>
      <c r="G17" s="1188"/>
      <c r="H17" s="1188"/>
      <c r="I17" s="1188"/>
      <c r="J17" s="1188"/>
      <c r="K17" s="1188"/>
      <c r="L17" s="1188"/>
      <c r="M17" s="1202"/>
      <c r="N17" s="1202"/>
      <c r="O17" s="1202"/>
      <c r="P17" s="1220"/>
      <c r="Q17" s="1220"/>
      <c r="R17" s="1220"/>
      <c r="S17" s="1220"/>
      <c r="T17" s="1220"/>
      <c r="U17" s="1220"/>
      <c r="V17" s="1220"/>
      <c r="W17" s="1220"/>
      <c r="X17" s="1220"/>
      <c r="Z17" s="1226"/>
    </row>
    <row r="18" spans="1:26">
      <c r="A18" s="1207" t="s">
        <v>166</v>
      </c>
      <c r="B18" s="1208">
        <v>140</v>
      </c>
      <c r="C18" s="1209">
        <f t="shared" ref="C18:C27" si="9">B18/$B$18</f>
        <v>1</v>
      </c>
      <c r="D18" s="1208">
        <v>2518</v>
      </c>
      <c r="E18" s="1209">
        <f>D18/$D$18</f>
        <v>1</v>
      </c>
      <c r="F18" s="1208">
        <v>40</v>
      </c>
      <c r="G18" s="1208">
        <v>1050</v>
      </c>
      <c r="H18" s="1208">
        <v>119.5</v>
      </c>
      <c r="I18" s="1208">
        <v>392</v>
      </c>
      <c r="J18" s="1208">
        <f>G18+I18</f>
        <v>1442</v>
      </c>
      <c r="K18" s="1208">
        <v>3.9780000000000002</v>
      </c>
      <c r="L18" s="1208">
        <v>84</v>
      </c>
      <c r="M18" s="1210">
        <v>136.4</v>
      </c>
      <c r="N18" s="1210">
        <v>1500</v>
      </c>
      <c r="O18" s="1210">
        <v>4.4000000000000004</v>
      </c>
      <c r="P18" s="1218">
        <f>(J18/G18)^((1.6665-1)/1.6665)*(273.15+F18)-273.15</f>
        <v>82.362219900157697</v>
      </c>
      <c r="Q18" s="1218">
        <f>[9]!Rho_(20,1,273.15)</f>
        <v>0.8881076589286635</v>
      </c>
      <c r="R18" s="1218">
        <f t="shared" ref="R18:R27" si="10">B18*Q18</f>
        <v>124.33507225001289</v>
      </c>
      <c r="S18" s="1218">
        <f>[9]!Rho_(20,1.15,F18+273.15)</f>
        <v>0.89083217668427339</v>
      </c>
      <c r="T18" s="1218">
        <f>R18/S18</f>
        <v>139.57182453017683</v>
      </c>
      <c r="U18" s="1218">
        <f>$T$21*V18</f>
        <v>141.81261886041779</v>
      </c>
      <c r="V18" s="1218">
        <f>D18/$D$21</f>
        <v>0.94095665171898357</v>
      </c>
      <c r="W18" s="1218">
        <f>V18*$W$21</f>
        <v>368.85500747384157</v>
      </c>
      <c r="X18" s="1218">
        <f t="shared" ref="X18:X27" si="11">[9]!cp_(20,1.15,F18+273.15)/[9]!Cv_(20,1.15,F18+273.15)</f>
        <v>1.6669206430821424</v>
      </c>
      <c r="Z18" s="1226">
        <f t="shared" si="5"/>
        <v>41.966666666666669</v>
      </c>
    </row>
    <row r="19" spans="1:26">
      <c r="A19" s="1184"/>
      <c r="B19" s="1188">
        <v>125</v>
      </c>
      <c r="C19" s="1200">
        <f t="shared" si="9"/>
        <v>0.8928571428571429</v>
      </c>
      <c r="D19" s="1188">
        <v>2229</v>
      </c>
      <c r="E19" s="1200">
        <f>D19/$D$18</f>
        <v>0.88522637013502781</v>
      </c>
      <c r="F19" s="1188">
        <v>40</v>
      </c>
      <c r="G19" s="1188">
        <v>1050</v>
      </c>
      <c r="H19" s="1188">
        <v>100.3</v>
      </c>
      <c r="I19" s="1188">
        <v>300</v>
      </c>
      <c r="J19" s="1188">
        <f t="shared" ref="J19:J37" si="12">G19+I19</f>
        <v>1350</v>
      </c>
      <c r="K19" s="1188">
        <v>2.9</v>
      </c>
      <c r="L19" s="1188">
        <v>83</v>
      </c>
      <c r="M19" s="1202"/>
      <c r="N19" s="1202"/>
      <c r="O19" s="1202"/>
      <c r="P19" s="1218">
        <f>(J19/G19)^((1.6665-1)/1.6665)*(273.15+F19)-273.15</f>
        <v>73.11106023558807</v>
      </c>
      <c r="Q19" s="1218">
        <f>[9]!Rho_(20,1,273.15)</f>
        <v>0.8881076589286635</v>
      </c>
      <c r="R19" s="1218">
        <f t="shared" si="10"/>
        <v>111.01345736608293</v>
      </c>
      <c r="S19" s="1218">
        <f>[9]!Rho_(20,1.15,F19+273.15)</f>
        <v>0.89083217668427339</v>
      </c>
      <c r="T19" s="1218">
        <f t="shared" ref="T19:T26" si="13">R19/S19</f>
        <v>124.61770047337217</v>
      </c>
      <c r="U19" s="1218">
        <f>$T$21*V19</f>
        <v>125.53626983314983</v>
      </c>
      <c r="V19" s="1218">
        <f>D19/$D$21</f>
        <v>0.8329596412556054</v>
      </c>
      <c r="W19" s="1218">
        <f>V19*$W$21</f>
        <v>326.52017937219733</v>
      </c>
      <c r="X19" s="1218">
        <f t="shared" si="11"/>
        <v>1.6669206430821424</v>
      </c>
      <c r="Z19" s="1226">
        <f t="shared" si="5"/>
        <v>37.15</v>
      </c>
    </row>
    <row r="20" spans="1:26">
      <c r="A20" s="1184"/>
      <c r="B20" s="1203">
        <v>100</v>
      </c>
      <c r="C20" s="1204">
        <f t="shared" si="9"/>
        <v>0.7142857142857143</v>
      </c>
      <c r="D20" s="1203">
        <v>1799</v>
      </c>
      <c r="E20" s="1204">
        <f>D20/$D$18</f>
        <v>0.71445591739475778</v>
      </c>
      <c r="F20" s="1203">
        <v>40</v>
      </c>
      <c r="G20" s="1203">
        <v>1050</v>
      </c>
      <c r="H20" s="1203">
        <v>80.599999999999994</v>
      </c>
      <c r="I20" s="1203">
        <v>200</v>
      </c>
      <c r="J20" s="1203">
        <f t="shared" si="12"/>
        <v>1250</v>
      </c>
      <c r="K20" s="1203">
        <v>1.8</v>
      </c>
      <c r="L20" s="1203">
        <v>80</v>
      </c>
      <c r="M20" s="1199"/>
      <c r="N20" s="1199"/>
      <c r="O20" s="1199"/>
      <c r="P20" s="1219">
        <f t="shared" ref="P20:P26" si="14">(J20/G20)^((1.6665-1)/1.6665)*(273.15+F20)-273.15</f>
        <v>62.615567804677767</v>
      </c>
      <c r="Q20" s="1219">
        <f>[9]!Rho_(20,1,273.15)</f>
        <v>0.8881076589286635</v>
      </c>
      <c r="R20" s="1219">
        <f t="shared" si="10"/>
        <v>88.810765892866357</v>
      </c>
      <c r="S20" s="1219">
        <f>[9]!Rho_(20,1.15,F20+273.15)</f>
        <v>0.89083217668427339</v>
      </c>
      <c r="T20" s="1219">
        <f t="shared" si="13"/>
        <v>99.694160378697745</v>
      </c>
      <c r="U20" s="1219">
        <f>$T$21*V20</f>
        <v>101.31886470607293</v>
      </c>
      <c r="V20" s="1219">
        <f>D20/$D$21</f>
        <v>0.67227204783258598</v>
      </c>
      <c r="W20" s="1219">
        <f>V20*$W$21</f>
        <v>263.53064275037372</v>
      </c>
      <c r="X20" s="1219">
        <f t="shared" si="11"/>
        <v>1.6669206430821424</v>
      </c>
      <c r="Z20" s="1226">
        <f t="shared" si="5"/>
        <v>29.983333333333334</v>
      </c>
    </row>
    <row r="21" spans="1:26" s="1217" customFormat="1">
      <c r="A21" s="1221" t="s">
        <v>642</v>
      </c>
      <c r="B21" s="1205">
        <v>140</v>
      </c>
      <c r="C21" s="1211">
        <f t="shared" si="9"/>
        <v>1</v>
      </c>
      <c r="D21" s="1205">
        <v>2676</v>
      </c>
      <c r="E21" s="1211">
        <f>D21/$D$21</f>
        <v>1</v>
      </c>
      <c r="F21" s="1205">
        <v>65</v>
      </c>
      <c r="G21" s="1205">
        <v>1050</v>
      </c>
      <c r="H21" s="1205">
        <v>149.5</v>
      </c>
      <c r="I21" s="1205">
        <v>392</v>
      </c>
      <c r="J21" s="1205">
        <f t="shared" ref="J21:J27" si="15">G21+I21</f>
        <v>1442</v>
      </c>
      <c r="K21" s="1205">
        <v>4.2</v>
      </c>
      <c r="L21" s="1205">
        <v>84</v>
      </c>
      <c r="M21" s="1212">
        <v>167.2</v>
      </c>
      <c r="N21" s="1212">
        <v>1500</v>
      </c>
      <c r="O21" s="1212">
        <v>4.4000000000000004</v>
      </c>
      <c r="P21" s="1222">
        <f t="shared" si="14"/>
        <v>110.7441630504178</v>
      </c>
      <c r="Q21" s="1222">
        <f>[9]!Rho_(20,1,273.15)</f>
        <v>0.8881076589286635</v>
      </c>
      <c r="R21" s="1222">
        <f t="shared" si="10"/>
        <v>124.33507225001289</v>
      </c>
      <c r="S21" s="1222">
        <f>[9]!Rho_(20,1.15,F21+273.15)</f>
        <v>0.8249894418123952</v>
      </c>
      <c r="T21" s="1222">
        <f t="shared" si="13"/>
        <v>150.71110725594838</v>
      </c>
      <c r="U21" s="1225">
        <f t="shared" ref="U21" si="16">$T$11*V21</f>
        <v>215.28750815461649</v>
      </c>
      <c r="V21" s="1222">
        <v>1</v>
      </c>
      <c r="W21" s="1222">
        <f>I21</f>
        <v>392</v>
      </c>
      <c r="X21" s="1222">
        <f t="shared" si="11"/>
        <v>1.6668699066585195</v>
      </c>
      <c r="Z21" s="1226">
        <f t="shared" si="5"/>
        <v>44.6</v>
      </c>
    </row>
    <row r="22" spans="1:26">
      <c r="A22" s="1184"/>
      <c r="B22" s="1188">
        <v>125</v>
      </c>
      <c r="C22" s="1200">
        <f t="shared" si="9"/>
        <v>0.8928571428571429</v>
      </c>
      <c r="D22" s="1188">
        <v>2369</v>
      </c>
      <c r="E22" s="1200">
        <f>D22/$D$21</f>
        <v>0.88527653213751867</v>
      </c>
      <c r="F22" s="1188">
        <v>65</v>
      </c>
      <c r="G22" s="1188">
        <v>1050</v>
      </c>
      <c r="H22" s="1188">
        <v>129.1</v>
      </c>
      <c r="I22" s="1188">
        <v>300</v>
      </c>
      <c r="J22" s="1188">
        <f t="shared" si="15"/>
        <v>1350</v>
      </c>
      <c r="K22" s="1188">
        <v>3.1</v>
      </c>
      <c r="L22" s="1188">
        <v>83</v>
      </c>
      <c r="M22" s="1212">
        <v>179.1</v>
      </c>
      <c r="N22" s="1212">
        <v>1500</v>
      </c>
      <c r="O22" s="1212">
        <v>4.0999999999999996</v>
      </c>
      <c r="P22" s="1218">
        <f t="shared" si="14"/>
        <v>100.75444681035958</v>
      </c>
      <c r="Q22" s="1218">
        <f>[9]!Rho_(20,1,273.15)</f>
        <v>0.8881076589286635</v>
      </c>
      <c r="R22" s="1218">
        <f t="shared" si="10"/>
        <v>111.01345736608293</v>
      </c>
      <c r="S22" s="1218">
        <f>[9]!Rho_(20,1.15,F22+273.15)</f>
        <v>0.8249894418123952</v>
      </c>
      <c r="T22" s="1218">
        <f t="shared" si="13"/>
        <v>134.56348862138248</v>
      </c>
      <c r="U22" s="1218">
        <f t="shared" ref="U22:U27" si="17">$T$21*V22</f>
        <v>133.42100638615162</v>
      </c>
      <c r="V22" s="1218">
        <f t="shared" ref="V22:V27" si="18">D22/$D$21</f>
        <v>0.88527653213751867</v>
      </c>
      <c r="W22" s="1218">
        <f t="shared" ref="W22:W27" si="19">V22*$W$21</f>
        <v>347.02840059790731</v>
      </c>
      <c r="X22" s="1218">
        <f t="shared" si="11"/>
        <v>1.6668699066585195</v>
      </c>
      <c r="Z22" s="1226">
        <f t="shared" si="5"/>
        <v>39.483333333333334</v>
      </c>
    </row>
    <row r="23" spans="1:26">
      <c r="A23" s="1184"/>
      <c r="B23" s="1203">
        <v>100</v>
      </c>
      <c r="C23" s="1204">
        <f t="shared" si="9"/>
        <v>0.7142857142857143</v>
      </c>
      <c r="D23" s="1203">
        <v>1911</v>
      </c>
      <c r="E23" s="1204">
        <f>D23/$D$21</f>
        <v>0.7141255605381166</v>
      </c>
      <c r="F23" s="1203">
        <v>65</v>
      </c>
      <c r="G23" s="1203">
        <v>1050</v>
      </c>
      <c r="H23" s="1203">
        <v>108.1</v>
      </c>
      <c r="I23" s="1203">
        <v>200</v>
      </c>
      <c r="J23" s="1203">
        <f t="shared" si="15"/>
        <v>1250</v>
      </c>
      <c r="K23" s="1203">
        <v>1.9</v>
      </c>
      <c r="L23" s="1203">
        <v>81</v>
      </c>
      <c r="M23" s="1199"/>
      <c r="N23" s="1199"/>
      <c r="O23" s="1199"/>
      <c r="P23" s="1219">
        <f t="shared" si="14"/>
        <v>89.421057809841216</v>
      </c>
      <c r="Q23" s="1219">
        <f>[9]!Rho_(20,1,273.15)</f>
        <v>0.8881076589286635</v>
      </c>
      <c r="R23" s="1219">
        <f t="shared" si="10"/>
        <v>88.810765892866357</v>
      </c>
      <c r="S23" s="1219">
        <f>[9]!Rho_(20,1.15,F23+273.15)</f>
        <v>0.8249894418123952</v>
      </c>
      <c r="T23" s="1219">
        <f t="shared" si="13"/>
        <v>107.65079089710601</v>
      </c>
      <c r="U23" s="1219">
        <f t="shared" si="17"/>
        <v>107.62665394847434</v>
      </c>
      <c r="V23" s="1219">
        <f t="shared" si="18"/>
        <v>0.7141255605381166</v>
      </c>
      <c r="W23" s="1219">
        <f t="shared" si="19"/>
        <v>279.93721973094171</v>
      </c>
      <c r="X23" s="1219">
        <f t="shared" si="11"/>
        <v>1.6668699066585195</v>
      </c>
      <c r="Z23" s="1226">
        <f t="shared" si="5"/>
        <v>31.85</v>
      </c>
    </row>
    <row r="24" spans="1:26">
      <c r="A24" s="1184" t="s">
        <v>642</v>
      </c>
      <c r="B24" s="1203">
        <v>140</v>
      </c>
      <c r="C24" s="1204">
        <f t="shared" si="9"/>
        <v>1</v>
      </c>
      <c r="D24" s="1203">
        <v>2626</v>
      </c>
      <c r="E24" s="1204">
        <f>D24/$D$24</f>
        <v>1</v>
      </c>
      <c r="F24" s="1206">
        <v>57</v>
      </c>
      <c r="G24" s="1203">
        <v>1050</v>
      </c>
      <c r="H24" s="1203">
        <v>140</v>
      </c>
      <c r="I24" s="1203">
        <v>392</v>
      </c>
      <c r="J24" s="1203">
        <f t="shared" si="15"/>
        <v>1442</v>
      </c>
      <c r="K24" s="1203">
        <v>4.0999999999999996</v>
      </c>
      <c r="L24" s="1203">
        <v>85</v>
      </c>
      <c r="M24" s="1199" t="s">
        <v>642</v>
      </c>
      <c r="N24" s="1199" t="s">
        <v>642</v>
      </c>
      <c r="O24" s="1199" t="s">
        <v>642</v>
      </c>
      <c r="P24" s="1218">
        <f t="shared" si="14"/>
        <v>101.66194124233454</v>
      </c>
      <c r="Q24" s="1218">
        <f>[9]!Rho_(20,1,273.15)</f>
        <v>0.8881076589286635</v>
      </c>
      <c r="R24" s="1218">
        <f t="shared" si="10"/>
        <v>124.33507225001289</v>
      </c>
      <c r="S24" s="1218">
        <f>[9]!Rho_(20,1.15,F24+273.15)</f>
        <v>0.84497421062322797</v>
      </c>
      <c r="T24" s="1218">
        <f t="shared" si="13"/>
        <v>147.1465882471218</v>
      </c>
      <c r="U24" s="1218">
        <f t="shared" si="17"/>
        <v>147.89512991559059</v>
      </c>
      <c r="V24" s="1218">
        <f t="shared" si="18"/>
        <v>0.98131539611360241</v>
      </c>
      <c r="W24" s="1218">
        <f t="shared" si="19"/>
        <v>384.67563527653215</v>
      </c>
      <c r="X24" s="1218">
        <f t="shared" si="11"/>
        <v>1.6668847054933635</v>
      </c>
      <c r="Z24" s="1226">
        <f t="shared" si="5"/>
        <v>43.766666666666666</v>
      </c>
    </row>
    <row r="25" spans="1:26">
      <c r="A25" s="1184" t="s">
        <v>642</v>
      </c>
      <c r="B25" s="1188">
        <v>140</v>
      </c>
      <c r="C25" s="1200">
        <f t="shared" si="9"/>
        <v>1</v>
      </c>
      <c r="D25" s="1188">
        <v>2231</v>
      </c>
      <c r="E25" s="1200">
        <f>D25/$D$21</f>
        <v>0.83370702541106123</v>
      </c>
      <c r="F25" s="1188">
        <v>-5</v>
      </c>
      <c r="G25" s="1188">
        <v>1050</v>
      </c>
      <c r="H25" s="1188">
        <v>65.400000000000006</v>
      </c>
      <c r="I25" s="1188">
        <v>392</v>
      </c>
      <c r="J25" s="1188">
        <f t="shared" si="15"/>
        <v>1442</v>
      </c>
      <c r="K25" s="1188">
        <v>3.5</v>
      </c>
      <c r="L25" s="1188">
        <v>84</v>
      </c>
      <c r="M25" s="1202">
        <v>80.7</v>
      </c>
      <c r="N25" s="1202">
        <v>1500</v>
      </c>
      <c r="O25" s="1202">
        <v>3.9</v>
      </c>
      <c r="P25" s="1218">
        <f t="shared" si="14"/>
        <v>31.274722229689587</v>
      </c>
      <c r="Q25" s="1218">
        <f>[9]!Rho_(20,1,273.15)</f>
        <v>0.8881076589286635</v>
      </c>
      <c r="R25" s="1218">
        <f t="shared" si="10"/>
        <v>124.33507225001289</v>
      </c>
      <c r="S25" s="1218">
        <f>[9]!Rho_(20,1.15,F25+273.15)</f>
        <v>1.0402901402212708</v>
      </c>
      <c r="T25" s="1218">
        <f t="shared" si="13"/>
        <v>119.51961038827754</v>
      </c>
      <c r="U25" s="1218">
        <f t="shared" si="17"/>
        <v>125.64890892676412</v>
      </c>
      <c r="V25" s="1218">
        <f t="shared" si="18"/>
        <v>0.83370702541106123</v>
      </c>
      <c r="W25" s="1218">
        <f t="shared" si="19"/>
        <v>326.81315396113598</v>
      </c>
      <c r="X25" s="1218">
        <f t="shared" si="11"/>
        <v>1.6670571437238777</v>
      </c>
      <c r="Z25" s="1226">
        <f t="shared" si="5"/>
        <v>37.18333333333333</v>
      </c>
    </row>
    <row r="26" spans="1:26">
      <c r="A26" s="1184"/>
      <c r="B26" s="1188">
        <v>125</v>
      </c>
      <c r="C26" s="1200">
        <f t="shared" si="9"/>
        <v>0.8928571428571429</v>
      </c>
      <c r="D26" s="1188">
        <v>1973</v>
      </c>
      <c r="E26" s="1200">
        <f>D26/$D$21</f>
        <v>0.73729446935724963</v>
      </c>
      <c r="F26" s="1188">
        <v>-5</v>
      </c>
      <c r="G26" s="1188">
        <v>1050</v>
      </c>
      <c r="H26" s="1188">
        <v>48.4</v>
      </c>
      <c r="I26" s="1188">
        <v>300</v>
      </c>
      <c r="J26" s="1188">
        <f t="shared" si="15"/>
        <v>1350</v>
      </c>
      <c r="K26" s="1188">
        <v>2.6</v>
      </c>
      <c r="L26" s="1188">
        <v>82</v>
      </c>
      <c r="M26" s="1202" t="s">
        <v>642</v>
      </c>
      <c r="N26" s="1202" t="s">
        <v>642</v>
      </c>
      <c r="O26" s="1202" t="s">
        <v>642</v>
      </c>
      <c r="P26" s="1219">
        <f t="shared" si="14"/>
        <v>23.352964400999326</v>
      </c>
      <c r="Q26" s="1219">
        <f>[9]!Rho_(20,1,273.15)</f>
        <v>0.8881076589286635</v>
      </c>
      <c r="R26" s="1219">
        <f t="shared" si="10"/>
        <v>111.01345736608293</v>
      </c>
      <c r="S26" s="1219">
        <f>[9]!Rho_(20,1.15,F26+273.15)</f>
        <v>1.0402901402212708</v>
      </c>
      <c r="T26" s="1219">
        <f t="shared" si="13"/>
        <v>106.71393784667637</v>
      </c>
      <c r="U26" s="1219">
        <f t="shared" si="17"/>
        <v>111.11846585051799</v>
      </c>
      <c r="V26" s="1219">
        <f t="shared" si="18"/>
        <v>0.73729446935724963</v>
      </c>
      <c r="W26" s="1219">
        <f t="shared" si="19"/>
        <v>289.01943198804184</v>
      </c>
      <c r="X26" s="1219">
        <f t="shared" si="11"/>
        <v>1.6670571437238777</v>
      </c>
      <c r="Z26" s="1226">
        <f t="shared" si="5"/>
        <v>32.883333333333333</v>
      </c>
    </row>
    <row r="27" spans="1:26">
      <c r="A27" s="1184"/>
      <c r="B27" s="1203">
        <v>100</v>
      </c>
      <c r="C27" s="1204">
        <f t="shared" si="9"/>
        <v>0.7142857142857143</v>
      </c>
      <c r="D27" s="1203">
        <v>1593</v>
      </c>
      <c r="E27" s="1204">
        <f>D27/$D$21</f>
        <v>0.5952914798206278</v>
      </c>
      <c r="F27" s="1203">
        <v>-5</v>
      </c>
      <c r="G27" s="1203">
        <v>1050</v>
      </c>
      <c r="H27" s="1203">
        <v>30.9</v>
      </c>
      <c r="I27" s="1203">
        <v>200</v>
      </c>
      <c r="J27" s="1203">
        <f t="shared" si="15"/>
        <v>1250</v>
      </c>
      <c r="K27" s="1203">
        <v>1.6</v>
      </c>
      <c r="L27" s="1203">
        <v>78</v>
      </c>
      <c r="M27" s="1199"/>
      <c r="N27" s="1199"/>
      <c r="O27" s="1199"/>
      <c r="P27" s="1219">
        <f>(J27/G27)^((1.6665-1)/1.6665)*(273.15+F27)-273.15</f>
        <v>14.365685795383456</v>
      </c>
      <c r="Q27" s="1219">
        <f>[9]!Rho_(20,1,273.15)</f>
        <v>0.8881076589286635</v>
      </c>
      <c r="R27" s="1219">
        <f t="shared" si="10"/>
        <v>88.810765892866357</v>
      </c>
      <c r="S27" s="1219">
        <f>[9]!Rho_(20,1.15,F27+273.15)</f>
        <v>1.0402901402212708</v>
      </c>
      <c r="T27" s="1219">
        <f>R27/S27</f>
        <v>85.371150277341101</v>
      </c>
      <c r="U27" s="1219">
        <f t="shared" si="17"/>
        <v>89.717038063798867</v>
      </c>
      <c r="V27" s="1219">
        <f t="shared" si="18"/>
        <v>0.5952914798206278</v>
      </c>
      <c r="W27" s="1219">
        <f t="shared" si="19"/>
        <v>233.35426008968611</v>
      </c>
      <c r="X27" s="1219">
        <f t="shared" si="11"/>
        <v>1.6670571437238777</v>
      </c>
      <c r="Z27" s="1226">
        <f t="shared" si="5"/>
        <v>26.55</v>
      </c>
    </row>
    <row r="28" spans="1:26">
      <c r="A28" s="1184"/>
      <c r="B28" s="1188"/>
      <c r="C28" s="1200"/>
      <c r="D28" s="1188"/>
      <c r="E28" s="1200"/>
      <c r="F28" s="1188"/>
      <c r="G28" s="1188"/>
      <c r="H28" s="1188"/>
      <c r="I28" s="1188"/>
      <c r="J28" s="1188"/>
      <c r="K28" s="1188"/>
      <c r="L28" s="1188"/>
      <c r="M28" s="1202"/>
      <c r="N28" s="1202"/>
      <c r="O28" s="1202"/>
      <c r="P28" s="1220"/>
      <c r="Q28" s="1220"/>
      <c r="R28" s="1220"/>
      <c r="S28" s="1220"/>
      <c r="T28" s="1220"/>
      <c r="U28" s="1220"/>
      <c r="V28" s="1220"/>
      <c r="W28" s="1220"/>
      <c r="X28" s="1220"/>
      <c r="Z28" s="1226"/>
    </row>
    <row r="29" spans="1:26">
      <c r="A29" s="1207" t="s">
        <v>168</v>
      </c>
      <c r="B29" s="1208">
        <v>165</v>
      </c>
      <c r="C29" s="1209">
        <f t="shared" ref="C29:C37" si="20">B29/$B$29</f>
        <v>1</v>
      </c>
      <c r="D29" s="1208">
        <v>2633</v>
      </c>
      <c r="E29" s="1209">
        <f>D29/$D$29</f>
        <v>1</v>
      </c>
      <c r="F29" s="1208">
        <v>40</v>
      </c>
      <c r="G29" s="1208">
        <v>1050</v>
      </c>
      <c r="H29" s="1208">
        <v>93.61</v>
      </c>
      <c r="I29" s="1208">
        <v>408</v>
      </c>
      <c r="J29" s="1208">
        <f t="shared" si="12"/>
        <v>1458</v>
      </c>
      <c r="K29" s="1208">
        <v>4.2859999999999996</v>
      </c>
      <c r="L29" s="1208">
        <v>85</v>
      </c>
      <c r="M29" s="1210"/>
      <c r="N29" s="1210"/>
      <c r="O29" s="1210"/>
      <c r="P29" s="1218">
        <f>(J29/G29)^((1.6665-1)/1.6665)*(273.15+F29)-273.15</f>
        <v>83.934624904779241</v>
      </c>
      <c r="Q29" s="1218">
        <f>[9]!Rho_(21,1,273.15)</f>
        <v>1.2340813820963283</v>
      </c>
      <c r="R29" s="1218">
        <f t="shared" ref="R29:R37" si="21">B29*Q29</f>
        <v>203.62342804589417</v>
      </c>
      <c r="S29" s="1218">
        <f>[9]!Rho_(21,1.15,F29+273.15)</f>
        <v>1.2374669886922269</v>
      </c>
      <c r="T29" s="1218">
        <f>R29/S29</f>
        <v>164.54857374505511</v>
      </c>
      <c r="U29" s="1218">
        <f>$T$32*V29</f>
        <v>166.81785771218532</v>
      </c>
      <c r="V29" s="1218">
        <f>D29/$D$32</f>
        <v>0.93868092691622107</v>
      </c>
      <c r="W29" s="1218">
        <f>V29*$W$32</f>
        <v>382.9818181818182</v>
      </c>
      <c r="X29" s="1218">
        <f t="shared" ref="X29:X37" si="22">[9]!cp_(21,1.15,F29+273.15)/[9]!Cv_(21,1.15,F29+273.15)</f>
        <v>1.4015740104084928</v>
      </c>
      <c r="Z29" s="1226">
        <f t="shared" si="5"/>
        <v>43.883333333333333</v>
      </c>
    </row>
    <row r="30" spans="1:26">
      <c r="A30" s="1184"/>
      <c r="B30" s="1188">
        <v>150</v>
      </c>
      <c r="C30" s="1200">
        <f t="shared" si="20"/>
        <v>0.90909090909090906</v>
      </c>
      <c r="D30" s="1188">
        <v>2398</v>
      </c>
      <c r="E30" s="1200">
        <f>D30/$D$29</f>
        <v>0.91074819597417389</v>
      </c>
      <c r="F30" s="1188">
        <v>40</v>
      </c>
      <c r="G30" s="1188">
        <v>1050</v>
      </c>
      <c r="H30" s="1188">
        <v>84.7</v>
      </c>
      <c r="I30" s="1188">
        <v>340</v>
      </c>
      <c r="J30" s="1188">
        <f t="shared" si="12"/>
        <v>1390</v>
      </c>
      <c r="K30" s="1188">
        <v>3.4</v>
      </c>
      <c r="L30" s="1188">
        <v>84</v>
      </c>
      <c r="M30" s="1202"/>
      <c r="N30" s="1202"/>
      <c r="O30" s="1202"/>
      <c r="P30" s="1218">
        <f>(J30/G30)^((1.6665-1)/1.6665)*(273.15+F30)-273.15</f>
        <v>77.178368253102065</v>
      </c>
      <c r="Q30" s="1218">
        <f>[9]!Rho_(21,1,273.15)</f>
        <v>1.2340813820963283</v>
      </c>
      <c r="R30" s="1218">
        <f t="shared" si="21"/>
        <v>185.11220731444925</v>
      </c>
      <c r="S30" s="1218">
        <f>[9]!Rho_(21,1.15,F30+273.15)</f>
        <v>1.2374669886922269</v>
      </c>
      <c r="T30" s="1218">
        <f t="shared" ref="T30:T37" si="23">R30/S30</f>
        <v>149.58961249550464</v>
      </c>
      <c r="U30" s="1218">
        <f>$T$32*V30</f>
        <v>151.9290629676492</v>
      </c>
      <c r="V30" s="1218">
        <f>D30/$D$32</f>
        <v>0.85490196078431369</v>
      </c>
      <c r="W30" s="1218">
        <f>V30*$W$32</f>
        <v>348.8</v>
      </c>
      <c r="X30" s="1218">
        <f t="shared" si="22"/>
        <v>1.4015740104084928</v>
      </c>
      <c r="Z30" s="1226">
        <f t="shared" si="5"/>
        <v>39.966666666666669</v>
      </c>
    </row>
    <row r="31" spans="1:26">
      <c r="A31" s="1184"/>
      <c r="B31" s="1203">
        <v>125</v>
      </c>
      <c r="C31" s="1204">
        <f t="shared" si="20"/>
        <v>0.75757575757575757</v>
      </c>
      <c r="D31" s="1203">
        <v>1981</v>
      </c>
      <c r="E31" s="1204">
        <f>D31/$D$29</f>
        <v>0.75237371819217624</v>
      </c>
      <c r="F31" s="1203">
        <v>40</v>
      </c>
      <c r="G31" s="1203">
        <v>1050</v>
      </c>
      <c r="H31" s="1203">
        <v>69.400000000000006</v>
      </c>
      <c r="I31" s="1203">
        <v>225</v>
      </c>
      <c r="J31" s="1203">
        <f t="shared" si="12"/>
        <v>1275</v>
      </c>
      <c r="K31" s="1203">
        <v>2.1</v>
      </c>
      <c r="L31" s="1203">
        <v>81</v>
      </c>
      <c r="M31" s="1199"/>
      <c r="N31" s="1199"/>
      <c r="O31" s="1199"/>
      <c r="P31" s="1219">
        <f t="shared" ref="P31:P37" si="24">(J31/G31)^((1.6665-1)/1.6665)*(273.15+F31)-273.15</f>
        <v>65.285343153679548</v>
      </c>
      <c r="Q31" s="1219">
        <f>[9]!Rho_(21,1,273.15)</f>
        <v>1.2340813820963283</v>
      </c>
      <c r="R31" s="1219">
        <f t="shared" si="21"/>
        <v>154.26017276204104</v>
      </c>
      <c r="S31" s="1219">
        <f>[9]!Rho_(21,1.15,F31+273.15)</f>
        <v>1.2374669886922269</v>
      </c>
      <c r="T31" s="1219">
        <f t="shared" si="23"/>
        <v>124.65801041292053</v>
      </c>
      <c r="U31" s="1219">
        <f>$T$32*V31</f>
        <v>125.50937186777027</v>
      </c>
      <c r="V31" s="1219">
        <f>D31/$D$32</f>
        <v>0.70623885918003571</v>
      </c>
      <c r="W31" s="1219">
        <f>V31*$W$32</f>
        <v>288.14545454545458</v>
      </c>
      <c r="X31" s="1219">
        <f t="shared" si="22"/>
        <v>1.4015740104084928</v>
      </c>
      <c r="Z31" s="1226">
        <f t="shared" si="5"/>
        <v>33.016666666666666</v>
      </c>
    </row>
    <row r="32" spans="1:26" s="1217" customFormat="1">
      <c r="A32" s="1221" t="s">
        <v>642</v>
      </c>
      <c r="B32" s="1205">
        <v>165</v>
      </c>
      <c r="C32" s="1224">
        <f t="shared" si="20"/>
        <v>1</v>
      </c>
      <c r="D32" s="1205">
        <v>2805</v>
      </c>
      <c r="E32" s="1224">
        <f t="shared" ref="E32:E37" si="25">D32/$D$32</f>
        <v>1</v>
      </c>
      <c r="F32" s="1205">
        <v>65</v>
      </c>
      <c r="G32" s="1205">
        <v>1050</v>
      </c>
      <c r="H32" s="1205">
        <v>122.1</v>
      </c>
      <c r="I32" s="1205">
        <v>408</v>
      </c>
      <c r="J32" s="1205">
        <f t="shared" si="12"/>
        <v>1458</v>
      </c>
      <c r="K32" s="1205">
        <v>4.5999999999999996</v>
      </c>
      <c r="L32" s="1205">
        <v>86</v>
      </c>
      <c r="M32" s="1212">
        <v>129.69999999999999</v>
      </c>
      <c r="N32" s="1212">
        <v>1500</v>
      </c>
      <c r="O32" s="1212">
        <v>4.9000000000000004</v>
      </c>
      <c r="P32" s="1222">
        <f t="shared" si="24"/>
        <v>112.44209935031483</v>
      </c>
      <c r="Q32" s="1222">
        <f>[9]!Rho_(21,1,273.15)</f>
        <v>1.2340813820963283</v>
      </c>
      <c r="R32" s="1222">
        <f t="shared" si="21"/>
        <v>203.62342804589417</v>
      </c>
      <c r="S32" s="1222">
        <f>[9]!Rho_(21,1.15,F32+273.15)</f>
        <v>1.1457851743291907</v>
      </c>
      <c r="T32" s="1222">
        <f t="shared" si="23"/>
        <v>177.71518833371812</v>
      </c>
      <c r="U32" s="1225">
        <f t="shared" ref="U32" si="26">$T$11*V32</f>
        <v>215.28750815461649</v>
      </c>
      <c r="V32" s="1222">
        <v>1</v>
      </c>
      <c r="W32" s="1222">
        <f>I32</f>
        <v>408</v>
      </c>
      <c r="X32" s="1222">
        <f t="shared" si="22"/>
        <v>1.400918727578035</v>
      </c>
      <c r="Z32" s="1226">
        <f t="shared" si="5"/>
        <v>46.75</v>
      </c>
    </row>
    <row r="33" spans="1:26">
      <c r="A33" s="1184"/>
      <c r="B33" s="1188">
        <v>150</v>
      </c>
      <c r="C33" s="1213">
        <f t="shared" si="20"/>
        <v>0.90909090909090906</v>
      </c>
      <c r="D33" s="1188">
        <v>2554</v>
      </c>
      <c r="E33" s="1213">
        <f t="shared" si="25"/>
        <v>0.91051693404634582</v>
      </c>
      <c r="F33" s="1188">
        <v>65</v>
      </c>
      <c r="G33" s="1188">
        <v>1050</v>
      </c>
      <c r="H33" s="1188">
        <v>112.7</v>
      </c>
      <c r="I33" s="1188">
        <v>340</v>
      </c>
      <c r="J33" s="1188">
        <f t="shared" si="12"/>
        <v>1390</v>
      </c>
      <c r="K33" s="1188">
        <v>3.6</v>
      </c>
      <c r="L33" s="1188">
        <v>83</v>
      </c>
      <c r="M33" s="1202"/>
      <c r="N33" s="1202"/>
      <c r="O33" s="1202"/>
      <c r="P33" s="1218">
        <f t="shared" si="24"/>
        <v>105.14646407404268</v>
      </c>
      <c r="Q33" s="1218">
        <f>[9]!Rho_(21,1,273.15)</f>
        <v>1.2340813820963283</v>
      </c>
      <c r="R33" s="1218">
        <f t="shared" si="21"/>
        <v>185.11220731444925</v>
      </c>
      <c r="S33" s="1218">
        <f>[9]!Rho_(21,1.15,F33+273.15)</f>
        <v>1.1457851743291907</v>
      </c>
      <c r="T33" s="1218">
        <f t="shared" si="23"/>
        <v>161.55926212156194</v>
      </c>
      <c r="U33" s="1218">
        <f>$T$32*V33</f>
        <v>161.81268841508594</v>
      </c>
      <c r="V33" s="1218">
        <f>D33/$D$32</f>
        <v>0.91051693404634582</v>
      </c>
      <c r="W33" s="1218">
        <f>V33*$W$32</f>
        <v>371.4909090909091</v>
      </c>
      <c r="X33" s="1218">
        <f t="shared" si="22"/>
        <v>1.400918727578035</v>
      </c>
      <c r="Z33" s="1226">
        <f t="shared" si="5"/>
        <v>42.56666666666667</v>
      </c>
    </row>
    <row r="34" spans="1:26">
      <c r="A34" s="1184"/>
      <c r="B34" s="1203">
        <v>125</v>
      </c>
      <c r="C34" s="1214">
        <f t="shared" si="20"/>
        <v>0.75757575757575757</v>
      </c>
      <c r="D34" s="1203">
        <v>2111</v>
      </c>
      <c r="E34" s="1214">
        <f t="shared" si="25"/>
        <v>0.75258467023172904</v>
      </c>
      <c r="F34" s="1203">
        <v>65</v>
      </c>
      <c r="G34" s="1203">
        <v>1050</v>
      </c>
      <c r="H34" s="1203">
        <v>96.3</v>
      </c>
      <c r="I34" s="1203">
        <v>225</v>
      </c>
      <c r="J34" s="1203">
        <f t="shared" si="12"/>
        <v>1275</v>
      </c>
      <c r="K34" s="1203">
        <v>2.2999999999999998</v>
      </c>
      <c r="L34" s="1203">
        <v>81</v>
      </c>
      <c r="M34" s="1199"/>
      <c r="N34" s="1199"/>
      <c r="O34" s="1199"/>
      <c r="P34" s="1219">
        <f t="shared" si="24"/>
        <v>92.303971858268369</v>
      </c>
      <c r="Q34" s="1219">
        <f>[9]!Rho_(21,1,273.15)</f>
        <v>1.2340813820963283</v>
      </c>
      <c r="R34" s="1219">
        <f t="shared" si="21"/>
        <v>154.26017276204104</v>
      </c>
      <c r="S34" s="1219">
        <f>[9]!Rho_(21,1.15,F34+273.15)</f>
        <v>1.1457851743291907</v>
      </c>
      <c r="T34" s="1219">
        <f t="shared" si="23"/>
        <v>134.63271843463494</v>
      </c>
      <c r="U34" s="1219">
        <f>$T$32*V34</f>
        <v>133.74572640730088</v>
      </c>
      <c r="V34" s="1219">
        <f>D34/$D$32</f>
        <v>0.75258467023172904</v>
      </c>
      <c r="W34" s="1219">
        <f>V34*$W$32</f>
        <v>307.05454545454546</v>
      </c>
      <c r="X34" s="1219">
        <f t="shared" si="22"/>
        <v>1.400918727578035</v>
      </c>
      <c r="Z34" s="1226">
        <f t="shared" si="5"/>
        <v>35.18333333333333</v>
      </c>
    </row>
    <row r="35" spans="1:26">
      <c r="A35" s="1184" t="s">
        <v>642</v>
      </c>
      <c r="B35" s="1188">
        <v>165</v>
      </c>
      <c r="C35" s="1213">
        <f t="shared" si="20"/>
        <v>1</v>
      </c>
      <c r="D35" s="1188">
        <v>2319</v>
      </c>
      <c r="E35" s="1213">
        <f t="shared" si="25"/>
        <v>0.82673796791443854</v>
      </c>
      <c r="F35" s="1188">
        <v>-5</v>
      </c>
      <c r="G35" s="1188">
        <v>1050</v>
      </c>
      <c r="H35" s="1188">
        <v>42.2</v>
      </c>
      <c r="I35" s="1188">
        <v>408</v>
      </c>
      <c r="J35" s="1188">
        <f t="shared" si="12"/>
        <v>1458</v>
      </c>
      <c r="K35" s="1188">
        <v>3.8</v>
      </c>
      <c r="L35" s="1188">
        <v>85</v>
      </c>
      <c r="M35" s="1202">
        <v>48.6</v>
      </c>
      <c r="N35" s="1202">
        <v>1500</v>
      </c>
      <c r="O35" s="1202">
        <v>4.0999999999999996</v>
      </c>
      <c r="P35" s="1218">
        <f t="shared" si="24"/>
        <v>32.621170902815095</v>
      </c>
      <c r="Q35" s="1218">
        <f>[9]!Rho_(21,1,273.15)</f>
        <v>1.2340813820963283</v>
      </c>
      <c r="R35" s="1218">
        <f t="shared" si="21"/>
        <v>203.62342804589417</v>
      </c>
      <c r="S35" s="1218">
        <f>[9]!Rho_(21,1.15,F35+273.15)</f>
        <v>1.4458586933336552</v>
      </c>
      <c r="T35" s="1218">
        <f t="shared" si="23"/>
        <v>140.83217743527084</v>
      </c>
      <c r="U35" s="1218">
        <f>$T$32*V35</f>
        <v>146.92389367054986</v>
      </c>
      <c r="V35" s="1218">
        <f>D35/$D$32</f>
        <v>0.82673796791443854</v>
      </c>
      <c r="W35" s="1218">
        <f>V35*$W$32</f>
        <v>337.30909090909091</v>
      </c>
      <c r="X35" s="1218">
        <f t="shared" si="22"/>
        <v>1.4026635177682616</v>
      </c>
      <c r="Z35" s="1226">
        <f t="shared" si="5"/>
        <v>38.65</v>
      </c>
    </row>
    <row r="36" spans="1:26">
      <c r="A36" s="1184"/>
      <c r="B36" s="1188">
        <v>150</v>
      </c>
      <c r="C36" s="1213">
        <f t="shared" si="20"/>
        <v>0.90909090909090906</v>
      </c>
      <c r="D36" s="1188">
        <v>2111</v>
      </c>
      <c r="E36" s="1213">
        <f t="shared" si="25"/>
        <v>0.75258467023172904</v>
      </c>
      <c r="F36" s="1188">
        <v>-5</v>
      </c>
      <c r="G36" s="1188">
        <v>1050</v>
      </c>
      <c r="H36" s="1188">
        <v>34.4</v>
      </c>
      <c r="I36" s="1188">
        <v>340</v>
      </c>
      <c r="J36" s="1188">
        <f t="shared" si="12"/>
        <v>1390</v>
      </c>
      <c r="K36" s="1188">
        <v>3</v>
      </c>
      <c r="L36" s="1188">
        <v>82</v>
      </c>
      <c r="M36" s="1202">
        <v>52.2</v>
      </c>
      <c r="N36" s="1202">
        <v>1500</v>
      </c>
      <c r="O36" s="1202">
        <v>3.7</v>
      </c>
      <c r="P36" s="1218">
        <f t="shared" si="24"/>
        <v>26.83579577540894</v>
      </c>
      <c r="Q36" s="1218">
        <f>[9]!Rho_(21,1,273.15)</f>
        <v>1.2340813820963283</v>
      </c>
      <c r="R36" s="1218">
        <f t="shared" si="21"/>
        <v>185.11220731444925</v>
      </c>
      <c r="S36" s="1218">
        <f>[9]!Rho_(21,1.15,F36+273.15)</f>
        <v>1.4458586933336552</v>
      </c>
      <c r="T36" s="1218">
        <f t="shared" si="23"/>
        <v>128.02925221388259</v>
      </c>
      <c r="U36" s="1218">
        <f>$T$32*V36</f>
        <v>133.74572640730088</v>
      </c>
      <c r="V36" s="1218">
        <f>D36/$D$32</f>
        <v>0.75258467023172904</v>
      </c>
      <c r="W36" s="1218">
        <f>V36*$W$32</f>
        <v>307.05454545454546</v>
      </c>
      <c r="X36" s="1218">
        <f t="shared" si="22"/>
        <v>1.4026635177682616</v>
      </c>
      <c r="Z36" s="1226">
        <f t="shared" si="5"/>
        <v>35.18333333333333</v>
      </c>
    </row>
    <row r="37" spans="1:26">
      <c r="A37" s="1184"/>
      <c r="B37" s="1203">
        <v>125</v>
      </c>
      <c r="C37" s="1214">
        <f t="shared" si="20"/>
        <v>0.75757575757575757</v>
      </c>
      <c r="D37" s="1203">
        <v>1744</v>
      </c>
      <c r="E37" s="1214">
        <f t="shared" si="25"/>
        <v>0.62174688057040994</v>
      </c>
      <c r="F37" s="1203">
        <v>-5</v>
      </c>
      <c r="G37" s="1203">
        <v>1050</v>
      </c>
      <c r="H37" s="1203">
        <v>20.8</v>
      </c>
      <c r="I37" s="1203">
        <v>225</v>
      </c>
      <c r="J37" s="1203">
        <f t="shared" si="12"/>
        <v>1275</v>
      </c>
      <c r="K37" s="1203">
        <v>1.9</v>
      </c>
      <c r="L37" s="1203">
        <v>80</v>
      </c>
      <c r="M37" s="1199">
        <v>62.9</v>
      </c>
      <c r="N37" s="1199">
        <v>1500</v>
      </c>
      <c r="O37" s="1199">
        <v>3.1</v>
      </c>
      <c r="P37" s="1219">
        <f t="shared" si="24"/>
        <v>16.651811485419671</v>
      </c>
      <c r="Q37" s="1219">
        <f>[9]!Rho_(21,1,273.15)</f>
        <v>1.2340813820963283</v>
      </c>
      <c r="R37" s="1219">
        <f t="shared" si="21"/>
        <v>154.26017276204104</v>
      </c>
      <c r="S37" s="1219">
        <f>[9]!Rho_(21,1.15,F37+273.15)</f>
        <v>1.4458586933336552</v>
      </c>
      <c r="T37" s="1219">
        <f t="shared" si="23"/>
        <v>106.69104351156881</v>
      </c>
      <c r="U37" s="1219">
        <f>$T$32*V37</f>
        <v>110.49386397647216</v>
      </c>
      <c r="V37" s="1219">
        <f>D37/$D$32</f>
        <v>0.62174688057040994</v>
      </c>
      <c r="W37" s="1219">
        <f>V37*$W$32</f>
        <v>253.67272727272726</v>
      </c>
      <c r="X37" s="1219">
        <f t="shared" si="22"/>
        <v>1.4026635177682616</v>
      </c>
      <c r="Z37" s="1226">
        <f t="shared" si="5"/>
        <v>29.066666666666666</v>
      </c>
    </row>
    <row r="38" spans="1:26">
      <c r="A38" s="1184"/>
      <c r="B38" s="1188"/>
      <c r="C38" s="1188"/>
      <c r="D38" s="1188"/>
      <c r="E38" s="1188"/>
      <c r="F38" s="1188"/>
      <c r="G38" s="1188"/>
      <c r="H38" s="1188"/>
      <c r="I38" s="1188"/>
      <c r="J38" s="1188"/>
      <c r="K38" s="1188"/>
      <c r="L38" s="1190"/>
      <c r="M38" s="1188"/>
      <c r="N38" s="1188"/>
      <c r="O38" s="1188"/>
      <c r="P38" s="1188"/>
      <c r="Q38" s="1188"/>
      <c r="R38" s="1188"/>
      <c r="S38" s="1188"/>
      <c r="T38" s="1188"/>
      <c r="U38" s="1188"/>
      <c r="V38" s="1188"/>
      <c r="W38" s="1188"/>
      <c r="X38" s="1188"/>
      <c r="Y38" s="1188"/>
    </row>
    <row r="39" spans="1:26">
      <c r="A39" s="1215" t="s">
        <v>1019</v>
      </c>
      <c r="B39" s="1227" t="s">
        <v>1020</v>
      </c>
      <c r="C39" s="1227"/>
      <c r="D39" s="1227"/>
      <c r="E39" s="1227"/>
      <c r="F39" s="1227"/>
      <c r="G39" s="1227"/>
      <c r="H39" s="1227"/>
      <c r="I39" s="1227"/>
      <c r="J39" s="1227"/>
      <c r="K39" s="1227"/>
      <c r="L39" s="1227"/>
      <c r="M39" s="1227"/>
      <c r="N39" s="1227"/>
      <c r="O39" s="1227"/>
      <c r="P39" s="1190"/>
      <c r="Q39" s="1190"/>
      <c r="R39" s="1190"/>
    </row>
    <row r="40" spans="1:26">
      <c r="A40" s="1215"/>
      <c r="B40" s="1227"/>
      <c r="C40" s="1227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7"/>
      <c r="P40" s="1190"/>
      <c r="Q40" s="1190"/>
      <c r="R40" s="1190"/>
    </row>
    <row r="41" spans="1:26">
      <c r="A41" s="1215"/>
      <c r="B41" s="1228" t="s">
        <v>1021</v>
      </c>
      <c r="C41" s="1228"/>
      <c r="D41" s="1228"/>
      <c r="E41" s="1228"/>
      <c r="F41" s="1228"/>
      <c r="G41" s="1228"/>
      <c r="H41" s="1228"/>
      <c r="I41" s="1228"/>
      <c r="J41" s="1228"/>
      <c r="K41" s="1228"/>
      <c r="L41" s="1228"/>
      <c r="M41" s="1228"/>
      <c r="N41" s="1228"/>
      <c r="O41" s="1228"/>
      <c r="P41" s="1190"/>
      <c r="Q41" s="1190"/>
      <c r="R41" s="1190"/>
    </row>
    <row r="42" spans="1:26">
      <c r="A42" s="1215"/>
      <c r="B42" s="1216" t="s">
        <v>1022</v>
      </c>
      <c r="C42" s="1216"/>
      <c r="D42" s="1216"/>
      <c r="E42" s="1216"/>
      <c r="F42" s="1216"/>
      <c r="G42" s="1216"/>
      <c r="H42" s="1216"/>
      <c r="I42" s="1216"/>
      <c r="J42" s="1216"/>
      <c r="K42" s="1216"/>
      <c r="L42" s="1216"/>
      <c r="M42" s="1216"/>
      <c r="N42" s="1216"/>
      <c r="O42" s="1216"/>
      <c r="P42" s="1190"/>
      <c r="Q42" s="1190"/>
      <c r="R42" s="1190"/>
    </row>
  </sheetData>
  <mergeCells count="2">
    <mergeCell ref="B39:O40"/>
    <mergeCell ref="B41:O41"/>
  </mergeCells>
  <conditionalFormatting sqref="I2"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R4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W75"/>
  <sheetViews>
    <sheetView zoomScaleNormal="100" zoomScaleSheetLayoutView="85" workbookViewId="0">
      <selection activeCell="H27" sqref="H27"/>
    </sheetView>
  </sheetViews>
  <sheetFormatPr defaultRowHeight="12.75"/>
  <cols>
    <col min="1" max="1" width="9.140625" style="91"/>
    <col min="2" max="2" width="3.7109375" style="91" customWidth="1"/>
    <col min="3" max="4" width="9.140625" style="91"/>
    <col min="5" max="9" width="14.140625" style="91" customWidth="1"/>
    <col min="10" max="10" width="13.85546875" style="91" customWidth="1"/>
    <col min="11" max="11" width="9.140625" style="91"/>
    <col min="12" max="12" width="10.140625" style="91" customWidth="1"/>
    <col min="13" max="13" width="2.85546875" style="91" customWidth="1"/>
    <col min="14" max="16" width="9.140625" style="91"/>
    <col min="17" max="17" width="12.7109375" style="91" customWidth="1"/>
    <col min="18" max="16384" width="9.140625" style="91"/>
  </cols>
  <sheetData>
    <row r="3" spans="2:23" ht="13.5" thickBot="1">
      <c r="B3" s="1034"/>
      <c r="C3" s="998"/>
      <c r="D3" s="998"/>
      <c r="E3" s="998"/>
      <c r="F3" s="998"/>
      <c r="G3" s="998"/>
      <c r="H3" s="998"/>
      <c r="I3" s="998"/>
      <c r="J3" s="998"/>
      <c r="K3" s="998"/>
      <c r="L3" s="998"/>
      <c r="M3" s="1035"/>
    </row>
    <row r="4" spans="2:23" ht="21" thickBot="1">
      <c r="B4" s="340"/>
      <c r="C4" s="1229" t="s">
        <v>885</v>
      </c>
      <c r="D4" s="1230"/>
      <c r="E4" s="1230"/>
      <c r="F4" s="1230"/>
      <c r="G4" s="1230"/>
      <c r="H4" s="1230"/>
      <c r="I4" s="1230"/>
      <c r="J4" s="1230"/>
      <c r="K4" s="1230"/>
      <c r="L4" s="1231"/>
      <c r="M4" s="566"/>
    </row>
    <row r="5" spans="2:23">
      <c r="B5" s="340"/>
      <c r="C5" s="94"/>
      <c r="D5" s="94"/>
      <c r="E5" s="94"/>
      <c r="F5" s="94"/>
      <c r="G5" s="94"/>
      <c r="H5" s="94"/>
      <c r="I5" s="94"/>
      <c r="J5" s="94"/>
      <c r="K5" s="94"/>
      <c r="L5" s="94"/>
      <c r="M5" s="566"/>
    </row>
    <row r="6" spans="2:23">
      <c r="B6" s="340"/>
      <c r="C6" s="94"/>
      <c r="D6" s="94"/>
      <c r="E6" s="94"/>
      <c r="F6" s="94"/>
      <c r="G6" s="94"/>
      <c r="H6" s="94"/>
      <c r="I6" s="94"/>
      <c r="J6" s="94"/>
      <c r="K6" s="94"/>
      <c r="L6" s="94"/>
      <c r="M6" s="566"/>
    </row>
    <row r="7" spans="2:23">
      <c r="B7" s="340"/>
      <c r="C7" s="94"/>
      <c r="D7" s="94"/>
      <c r="E7" s="464" t="s">
        <v>886</v>
      </c>
      <c r="F7" s="464" t="s">
        <v>458</v>
      </c>
      <c r="G7" s="464" t="s">
        <v>460</v>
      </c>
      <c r="H7" s="464" t="s">
        <v>241</v>
      </c>
      <c r="I7" s="464" t="s">
        <v>148</v>
      </c>
      <c r="J7" s="464" t="s">
        <v>887</v>
      </c>
      <c r="K7" s="464" t="s">
        <v>888</v>
      </c>
      <c r="L7" s="464" t="s">
        <v>889</v>
      </c>
      <c r="M7" s="566"/>
      <c r="W7" s="168"/>
    </row>
    <row r="8" spans="2:23">
      <c r="B8" s="340"/>
      <c r="C8" s="94"/>
      <c r="D8" s="187" t="s">
        <v>890</v>
      </c>
      <c r="E8" s="1036">
        <v>100</v>
      </c>
      <c r="F8" s="472">
        <v>20.3</v>
      </c>
      <c r="G8" s="472">
        <v>5</v>
      </c>
      <c r="H8" s="472">
        <v>234</v>
      </c>
      <c r="I8" s="477">
        <f>[9]!g_(11,F8,H8)</f>
        <v>1.6637702346058472</v>
      </c>
      <c r="J8" s="1036">
        <v>70</v>
      </c>
      <c r="K8" s="1037">
        <v>709</v>
      </c>
      <c r="L8" s="1037">
        <f t="shared" ref="L8:L13" si="0">K8*3%</f>
        <v>21.27</v>
      </c>
      <c r="M8" s="566"/>
      <c r="W8" s="168"/>
    </row>
    <row r="9" spans="2:23">
      <c r="B9" s="340"/>
      <c r="C9" s="94"/>
      <c r="D9" s="1038" t="s">
        <v>891</v>
      </c>
      <c r="E9" s="1039" t="s">
        <v>503</v>
      </c>
      <c r="F9" s="1039"/>
      <c r="G9" s="1039"/>
      <c r="H9" s="472"/>
      <c r="I9" s="477"/>
      <c r="J9" s="1039" t="s">
        <v>503</v>
      </c>
      <c r="K9" s="1040">
        <v>752</v>
      </c>
      <c r="L9" s="1040">
        <f t="shared" si="0"/>
        <v>22.56</v>
      </c>
      <c r="M9" s="1041"/>
      <c r="W9" s="168"/>
    </row>
    <row r="10" spans="2:23">
      <c r="B10" s="340"/>
      <c r="C10" s="94"/>
      <c r="D10" s="187" t="s">
        <v>892</v>
      </c>
      <c r="E10" s="1036">
        <v>80</v>
      </c>
      <c r="F10" s="1039">
        <v>19.885000000000002</v>
      </c>
      <c r="G10" s="1039">
        <v>5</v>
      </c>
      <c r="H10" s="472">
        <v>66</v>
      </c>
      <c r="I10" s="477">
        <f>[9]!g_(11,F10,H10)</f>
        <v>1.6747208865343879</v>
      </c>
      <c r="J10" s="1036">
        <v>40</v>
      </c>
      <c r="K10" s="1037">
        <v>246.5</v>
      </c>
      <c r="L10" s="1037">
        <f t="shared" si="0"/>
        <v>7.3949999999999996</v>
      </c>
      <c r="M10" s="566"/>
      <c r="W10" s="168"/>
    </row>
    <row r="11" spans="2:23">
      <c r="B11" s="340"/>
      <c r="C11" s="94"/>
      <c r="D11" s="187" t="s">
        <v>893</v>
      </c>
      <c r="E11" s="1036">
        <v>80</v>
      </c>
      <c r="F11" s="472">
        <v>19.78</v>
      </c>
      <c r="G11" s="472">
        <v>5</v>
      </c>
      <c r="H11" s="472">
        <v>66</v>
      </c>
      <c r="I11" s="477">
        <f>[9]!g_(11,F11,H11)</f>
        <v>1.6746822251360127</v>
      </c>
      <c r="J11" s="1036">
        <v>40</v>
      </c>
      <c r="K11" s="1037">
        <v>183.7</v>
      </c>
      <c r="L11" s="1037">
        <f t="shared" si="0"/>
        <v>5.5109999999999992</v>
      </c>
      <c r="M11" s="566"/>
      <c r="W11" s="168"/>
    </row>
    <row r="12" spans="2:23">
      <c r="B12" s="340"/>
      <c r="C12" s="94"/>
      <c r="D12" s="187" t="s">
        <v>894</v>
      </c>
      <c r="E12" s="1036">
        <v>40</v>
      </c>
      <c r="F12" s="1042">
        <v>19.565000000000001</v>
      </c>
      <c r="G12" s="1042">
        <v>1.2</v>
      </c>
      <c r="H12" s="1042">
        <v>20</v>
      </c>
      <c r="I12" s="477">
        <f>[9]!g_(11,F12,H12)</f>
        <v>1.915387300931688</v>
      </c>
      <c r="J12" s="1036">
        <v>32</v>
      </c>
      <c r="K12" s="1037">
        <v>64.900000000000006</v>
      </c>
      <c r="L12" s="1037">
        <f t="shared" si="0"/>
        <v>1.9470000000000001</v>
      </c>
      <c r="M12" s="566"/>
      <c r="W12" s="168"/>
    </row>
    <row r="13" spans="2:23">
      <c r="B13" s="340"/>
      <c r="C13" s="94"/>
      <c r="D13" s="187" t="s">
        <v>895</v>
      </c>
      <c r="E13" s="1036">
        <v>40</v>
      </c>
      <c r="F13" s="1042">
        <v>19.55</v>
      </c>
      <c r="G13" s="1042">
        <v>1.2</v>
      </c>
      <c r="H13" s="1042">
        <v>65</v>
      </c>
      <c r="I13" s="477">
        <f>[9]!g_(11,F13,H13)</f>
        <v>1.6751720366182228</v>
      </c>
      <c r="J13" s="1036">
        <v>32</v>
      </c>
      <c r="K13" s="1037">
        <v>39.450000000000003</v>
      </c>
      <c r="L13" s="1037">
        <f t="shared" si="0"/>
        <v>1.1835</v>
      </c>
      <c r="M13" s="566"/>
    </row>
    <row r="14" spans="2:23">
      <c r="B14" s="340"/>
      <c r="C14" s="94"/>
      <c r="D14" s="94"/>
      <c r="E14" s="94"/>
      <c r="F14" s="94"/>
      <c r="G14" s="94"/>
      <c r="H14" s="94"/>
      <c r="I14" s="728"/>
      <c r="J14" s="728"/>
      <c r="K14" s="94"/>
      <c r="L14" s="94"/>
      <c r="M14" s="566"/>
    </row>
    <row r="15" spans="2:23">
      <c r="B15" s="340"/>
      <c r="E15" s="1232" t="s">
        <v>896</v>
      </c>
      <c r="F15" s="1232"/>
      <c r="G15" s="1043" t="s">
        <v>897</v>
      </c>
      <c r="H15" s="1043"/>
      <c r="I15" s="1043" t="s">
        <v>898</v>
      </c>
      <c r="J15" s="1043"/>
      <c r="M15" s="566"/>
      <c r="N15" s="92"/>
    </row>
    <row r="16" spans="2:23">
      <c r="B16" s="340"/>
      <c r="E16" s="94"/>
      <c r="F16" s="94"/>
      <c r="G16" s="94"/>
      <c r="H16" s="94"/>
      <c r="I16" s="94"/>
      <c r="J16" s="94"/>
      <c r="M16" s="566"/>
      <c r="N16" s="92"/>
    </row>
    <row r="17" spans="2:13">
      <c r="B17" s="340"/>
      <c r="E17" s="1036">
        <v>6</v>
      </c>
      <c r="F17" s="1036">
        <v>10</v>
      </c>
      <c r="G17" s="1044">
        <v>15</v>
      </c>
      <c r="H17" s="1044">
        <v>0</v>
      </c>
      <c r="I17" s="472">
        <v>-5</v>
      </c>
      <c r="J17" s="472">
        <v>-14</v>
      </c>
      <c r="M17" s="566"/>
    </row>
    <row r="18" spans="2:13">
      <c r="B18" s="340"/>
      <c r="E18" s="1036">
        <f>F17</f>
        <v>10</v>
      </c>
      <c r="F18" s="1036">
        <v>18</v>
      </c>
      <c r="G18" s="1044">
        <v>18</v>
      </c>
      <c r="H18" s="1044">
        <v>0</v>
      </c>
      <c r="I18" s="472">
        <v>-6</v>
      </c>
      <c r="J18" s="472">
        <v>-17</v>
      </c>
      <c r="M18" s="566"/>
    </row>
    <row r="19" spans="2:13">
      <c r="B19" s="340"/>
      <c r="E19" s="1036">
        <f>F18</f>
        <v>18</v>
      </c>
      <c r="F19" s="1036">
        <v>30</v>
      </c>
      <c r="G19" s="1044">
        <v>21</v>
      </c>
      <c r="H19" s="1044">
        <v>0</v>
      </c>
      <c r="I19" s="472">
        <v>-7</v>
      </c>
      <c r="J19" s="472">
        <v>-13</v>
      </c>
      <c r="M19" s="566"/>
    </row>
    <row r="20" spans="2:13">
      <c r="B20" s="340"/>
      <c r="E20" s="1036">
        <f>F19</f>
        <v>30</v>
      </c>
      <c r="F20" s="1036">
        <v>50</v>
      </c>
      <c r="G20" s="1044">
        <v>25</v>
      </c>
      <c r="H20" s="1044">
        <v>0</v>
      </c>
      <c r="I20" s="472">
        <v>-9</v>
      </c>
      <c r="J20" s="472">
        <v>-25</v>
      </c>
      <c r="M20" s="566"/>
    </row>
    <row r="21" spans="2:13">
      <c r="B21" s="340"/>
      <c r="E21" s="1036">
        <f>F20</f>
        <v>50</v>
      </c>
      <c r="F21" s="1036">
        <v>80</v>
      </c>
      <c r="G21" s="1044">
        <v>30</v>
      </c>
      <c r="H21" s="1044">
        <v>0</v>
      </c>
      <c r="I21" s="472">
        <v>-10</v>
      </c>
      <c r="J21" s="472">
        <v>-29</v>
      </c>
      <c r="M21" s="566"/>
    </row>
    <row r="22" spans="2:13">
      <c r="B22" s="340"/>
      <c r="E22" s="1036">
        <f>F21</f>
        <v>80</v>
      </c>
      <c r="F22" s="1036">
        <v>120</v>
      </c>
      <c r="G22" s="1044">
        <v>35</v>
      </c>
      <c r="H22" s="1044">
        <v>0</v>
      </c>
      <c r="I22" s="472">
        <v>-12</v>
      </c>
      <c r="J22" s="472">
        <v>-34</v>
      </c>
      <c r="M22" s="566"/>
    </row>
    <row r="23" spans="2:13">
      <c r="B23" s="340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566"/>
    </row>
    <row r="24" spans="2:13">
      <c r="B24" s="340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566"/>
    </row>
    <row r="25" spans="2:13">
      <c r="B25" s="340"/>
      <c r="F25" s="94"/>
      <c r="G25" s="464" t="s">
        <v>899</v>
      </c>
      <c r="H25" s="464" t="s">
        <v>900</v>
      </c>
      <c r="I25" s="464" t="s">
        <v>901</v>
      </c>
      <c r="J25" s="464" t="s">
        <v>888</v>
      </c>
      <c r="M25" s="566"/>
    </row>
    <row r="26" spans="2:13">
      <c r="B26" s="340"/>
      <c r="F26" s="94" t="str">
        <f t="shared" ref="F26:F31" si="1">+D8</f>
        <v>Turbine 1</v>
      </c>
      <c r="G26" s="1036">
        <f t="shared" ref="G26:G31" si="2">E8</f>
        <v>100</v>
      </c>
      <c r="H26" s="477">
        <f>G26+$G$22/1000</f>
        <v>100.035</v>
      </c>
      <c r="I26" s="1036">
        <f>G26+$J$22/1000</f>
        <v>99.965999999999994</v>
      </c>
      <c r="J26" s="1045">
        <f>PI()*(H26/2)^2-PI()*(I26/2)^2</f>
        <v>10.838548847358652</v>
      </c>
      <c r="M26" s="566"/>
    </row>
    <row r="27" spans="2:13">
      <c r="B27" s="340"/>
      <c r="F27" s="1051" t="str">
        <f t="shared" si="1"/>
        <v>Turbine 2</v>
      </c>
      <c r="G27" s="1052" t="str">
        <f t="shared" si="2"/>
        <v>NA</v>
      </c>
      <c r="H27" s="1053"/>
      <c r="I27" s="1039"/>
      <c r="J27" s="1054"/>
      <c r="M27" s="1046"/>
    </row>
    <row r="28" spans="2:13">
      <c r="B28" s="340"/>
      <c r="F28" s="94" t="str">
        <f t="shared" si="1"/>
        <v>Turbine 3</v>
      </c>
      <c r="G28" s="1036">
        <f t="shared" si="2"/>
        <v>80</v>
      </c>
      <c r="H28" s="477">
        <f>G28+$G$21/1000</f>
        <v>80.03</v>
      </c>
      <c r="I28" s="1036">
        <f>G28+$J$21/1000</f>
        <v>79.971000000000004</v>
      </c>
      <c r="J28" s="1045">
        <f>PI()*(H28/2)^2-PI()*(I28/2)^2</f>
        <v>7.414205000963193</v>
      </c>
      <c r="M28" s="1046"/>
    </row>
    <row r="29" spans="2:13">
      <c r="B29" s="340"/>
      <c r="F29" s="94" t="str">
        <f t="shared" si="1"/>
        <v>Turbine 4</v>
      </c>
      <c r="G29" s="1036">
        <f t="shared" si="2"/>
        <v>80</v>
      </c>
      <c r="H29" s="477">
        <f>G29+$G$21/1000</f>
        <v>80.03</v>
      </c>
      <c r="I29" s="1036">
        <f>G29+$J$21/1000</f>
        <v>79.971000000000004</v>
      </c>
      <c r="J29" s="1045">
        <f>PI()*(H29/2)^2-PI()*(I29/2)^2</f>
        <v>7.414205000963193</v>
      </c>
      <c r="M29" s="1046"/>
    </row>
    <row r="30" spans="2:13">
      <c r="B30" s="340"/>
      <c r="F30" s="94" t="str">
        <f t="shared" si="1"/>
        <v>Turbine 5</v>
      </c>
      <c r="G30" s="1036">
        <f t="shared" si="2"/>
        <v>40</v>
      </c>
      <c r="H30" s="477">
        <f>G30+$G$20/1000</f>
        <v>40.024999999999999</v>
      </c>
      <c r="I30" s="1036">
        <f>G30+$J$20/1000</f>
        <v>39.975000000000001</v>
      </c>
      <c r="J30" s="1045">
        <f>PI()*(H30/2)^2-PI()*(I30/2)^2</f>
        <v>3.1415926535894414</v>
      </c>
      <c r="M30" s="1046"/>
    </row>
    <row r="31" spans="2:13">
      <c r="B31" s="340"/>
      <c r="F31" s="94" t="str">
        <f t="shared" si="1"/>
        <v>Turbine 6</v>
      </c>
      <c r="G31" s="1036">
        <f t="shared" si="2"/>
        <v>40</v>
      </c>
      <c r="H31" s="477">
        <f>G31+$G$20/1000</f>
        <v>40.024999999999999</v>
      </c>
      <c r="I31" s="1036">
        <f>G31+$J$20/1000</f>
        <v>39.975000000000001</v>
      </c>
      <c r="J31" s="1045">
        <f>PI()*(H31/2)^2-PI()*(I31/2)^2</f>
        <v>3.1415926535894414</v>
      </c>
      <c r="M31" s="1046"/>
    </row>
    <row r="32" spans="2:13">
      <c r="B32" s="1047"/>
      <c r="C32" s="182"/>
      <c r="D32" s="182"/>
      <c r="E32" s="1048"/>
      <c r="F32" s="1048"/>
      <c r="G32" s="1048"/>
      <c r="H32" s="1048"/>
      <c r="I32" s="1048"/>
      <c r="J32" s="182"/>
      <c r="K32" s="182"/>
      <c r="L32" s="182"/>
      <c r="M32" s="1049"/>
    </row>
    <row r="33" spans="5:13">
      <c r="E33" s="1050"/>
      <c r="F33" s="1050"/>
      <c r="G33" s="1050"/>
      <c r="H33" s="1050"/>
      <c r="I33" s="1050"/>
      <c r="M33" s="1050"/>
    </row>
    <row r="34" spans="5:13">
      <c r="E34" s="1050"/>
      <c r="F34" s="1050"/>
      <c r="G34" s="1050"/>
      <c r="H34" s="1050"/>
      <c r="I34" s="1050"/>
      <c r="M34" s="1050"/>
    </row>
    <row r="35" spans="5:13">
      <c r="E35" s="1050"/>
      <c r="F35" s="1050"/>
      <c r="G35" s="1050"/>
      <c r="H35" s="1050"/>
      <c r="I35" s="1050"/>
      <c r="M35" s="1050"/>
    </row>
    <row r="36" spans="5:13">
      <c r="E36" s="1050"/>
      <c r="F36" s="1050"/>
      <c r="G36" s="1050"/>
      <c r="H36" s="1050"/>
      <c r="I36" s="1050"/>
      <c r="M36" s="1050"/>
    </row>
    <row r="37" spans="5:13">
      <c r="E37" s="1050"/>
      <c r="F37" s="1050"/>
      <c r="G37" s="1050"/>
      <c r="H37" s="1050"/>
      <c r="I37" s="1050"/>
      <c r="M37" s="1050"/>
    </row>
    <row r="38" spans="5:13">
      <c r="E38" s="1050"/>
      <c r="F38" s="1050"/>
      <c r="G38" s="1050"/>
      <c r="H38" s="1050"/>
      <c r="I38" s="1050"/>
      <c r="M38" s="1050"/>
    </row>
    <row r="39" spans="5:13">
      <c r="E39" s="1050"/>
      <c r="F39" s="1050"/>
      <c r="G39" s="1050"/>
      <c r="H39" s="1050"/>
      <c r="I39" s="1050"/>
      <c r="M39" s="1050"/>
    </row>
    <row r="40" spans="5:13">
      <c r="E40" s="1050"/>
      <c r="F40" s="1050"/>
      <c r="G40" s="1050"/>
      <c r="H40" s="1050"/>
      <c r="I40" s="1050"/>
      <c r="M40" s="1050"/>
    </row>
    <row r="41" spans="5:13">
      <c r="E41" s="1050"/>
      <c r="F41" s="1050"/>
      <c r="G41" s="1050"/>
      <c r="H41" s="1050"/>
      <c r="I41" s="1050"/>
      <c r="M41" s="1050"/>
    </row>
    <row r="42" spans="5:13">
      <c r="E42" s="1050"/>
      <c r="F42" s="1050"/>
      <c r="G42" s="1050"/>
      <c r="H42" s="1050"/>
      <c r="I42" s="1050"/>
      <c r="M42" s="1050"/>
    </row>
    <row r="43" spans="5:13">
      <c r="E43" s="1050"/>
      <c r="F43" s="1050"/>
      <c r="G43" s="1050"/>
      <c r="H43" s="1050"/>
      <c r="I43" s="1050"/>
      <c r="M43" s="1050"/>
    </row>
    <row r="44" spans="5:13">
      <c r="E44" s="1050"/>
      <c r="F44" s="1050"/>
      <c r="G44" s="1050"/>
      <c r="H44" s="1050"/>
      <c r="I44" s="1050"/>
      <c r="M44" s="1050"/>
    </row>
    <row r="45" spans="5:13">
      <c r="E45" s="1050"/>
      <c r="F45" s="1050"/>
      <c r="G45" s="1050"/>
      <c r="H45" s="1050"/>
      <c r="I45" s="1050"/>
      <c r="M45" s="1050"/>
    </row>
    <row r="46" spans="5:13">
      <c r="E46" s="1050"/>
      <c r="F46" s="1050"/>
      <c r="G46" s="1050"/>
      <c r="H46" s="1050"/>
      <c r="I46" s="1050"/>
      <c r="M46" s="1050"/>
    </row>
    <row r="47" spans="5:13">
      <c r="E47" s="1050"/>
      <c r="F47" s="1050"/>
      <c r="G47" s="1050"/>
      <c r="H47" s="1050"/>
      <c r="I47" s="1050"/>
      <c r="M47" s="1050"/>
    </row>
    <row r="48" spans="5:13">
      <c r="E48" s="1050"/>
      <c r="F48" s="1050"/>
      <c r="G48" s="1050"/>
      <c r="H48" s="1050"/>
      <c r="I48" s="1050"/>
      <c r="M48" s="1050"/>
    </row>
    <row r="49" spans="5:13">
      <c r="E49" s="1050"/>
      <c r="F49" s="1050"/>
      <c r="G49" s="1050"/>
      <c r="H49" s="1050"/>
      <c r="I49" s="1050"/>
      <c r="M49" s="1050"/>
    </row>
    <row r="50" spans="5:13">
      <c r="E50" s="1050"/>
      <c r="F50" s="1050"/>
      <c r="G50" s="1050"/>
      <c r="H50" s="1050"/>
      <c r="I50" s="1050"/>
      <c r="M50" s="1050"/>
    </row>
    <row r="51" spans="5:13">
      <c r="E51" s="1050"/>
      <c r="F51" s="1050"/>
      <c r="G51" s="1050"/>
      <c r="H51" s="1050"/>
      <c r="I51" s="1050"/>
      <c r="M51" s="1050"/>
    </row>
    <row r="52" spans="5:13">
      <c r="E52" s="1050"/>
      <c r="F52" s="1050"/>
      <c r="G52" s="1050"/>
      <c r="H52" s="1050"/>
      <c r="I52" s="1050"/>
      <c r="M52" s="1050"/>
    </row>
    <row r="53" spans="5:13">
      <c r="E53" s="1050"/>
      <c r="F53" s="1050"/>
      <c r="G53" s="1050"/>
      <c r="H53" s="1050"/>
      <c r="I53" s="1050"/>
      <c r="M53" s="1050"/>
    </row>
    <row r="54" spans="5:13">
      <c r="E54" s="1050"/>
      <c r="F54" s="1050"/>
      <c r="G54" s="1050"/>
      <c r="H54" s="1050"/>
      <c r="I54" s="1050"/>
      <c r="M54" s="1050"/>
    </row>
    <row r="55" spans="5:13">
      <c r="E55" s="1050"/>
      <c r="F55" s="1050"/>
      <c r="G55" s="1050"/>
      <c r="H55" s="1050"/>
      <c r="I55" s="1050"/>
      <c r="M55" s="1050"/>
    </row>
    <row r="56" spans="5:13">
      <c r="E56" s="1050"/>
      <c r="F56" s="1050"/>
      <c r="G56" s="1050"/>
      <c r="H56" s="1050"/>
      <c r="I56" s="1050"/>
      <c r="M56" s="1050"/>
    </row>
    <row r="57" spans="5:13">
      <c r="E57" s="1050"/>
      <c r="F57" s="1050"/>
      <c r="G57" s="1050"/>
      <c r="H57" s="1050"/>
      <c r="I57" s="1050"/>
      <c r="M57" s="1050"/>
    </row>
    <row r="58" spans="5:13">
      <c r="E58" s="1050"/>
      <c r="F58" s="1050"/>
      <c r="G58" s="1050"/>
      <c r="H58" s="1050"/>
      <c r="I58" s="1050"/>
      <c r="M58" s="1050"/>
    </row>
    <row r="59" spans="5:13">
      <c r="E59" s="1050"/>
      <c r="F59" s="1050"/>
      <c r="G59" s="1050"/>
      <c r="H59" s="1050"/>
      <c r="I59" s="1050"/>
      <c r="M59" s="1050"/>
    </row>
    <row r="60" spans="5:13">
      <c r="E60" s="1050"/>
      <c r="F60" s="1050"/>
      <c r="G60" s="1050"/>
      <c r="H60" s="1050"/>
      <c r="I60" s="1050"/>
      <c r="M60" s="1050"/>
    </row>
    <row r="61" spans="5:13">
      <c r="E61" s="1050"/>
      <c r="F61" s="1050"/>
      <c r="G61" s="1050"/>
      <c r="H61" s="1050"/>
      <c r="I61" s="1050"/>
      <c r="M61" s="1050"/>
    </row>
    <row r="62" spans="5:13">
      <c r="E62" s="1050"/>
      <c r="F62" s="1050"/>
      <c r="G62" s="1050"/>
      <c r="H62" s="1050"/>
      <c r="I62" s="1050"/>
      <c r="M62" s="1050"/>
    </row>
    <row r="63" spans="5:13">
      <c r="E63" s="1050"/>
      <c r="F63" s="1050"/>
      <c r="G63" s="1050"/>
      <c r="H63" s="1050"/>
      <c r="I63" s="1050"/>
      <c r="M63" s="1050"/>
    </row>
    <row r="64" spans="5:13">
      <c r="E64" s="1050"/>
      <c r="F64" s="1050"/>
      <c r="G64" s="1050"/>
      <c r="H64" s="1050"/>
      <c r="I64" s="1050"/>
      <c r="M64" s="1050"/>
    </row>
    <row r="65" spans="5:13">
      <c r="E65" s="1050"/>
      <c r="F65" s="1050"/>
      <c r="G65" s="1050"/>
      <c r="H65" s="1050"/>
      <c r="I65" s="1050"/>
      <c r="M65" s="1050"/>
    </row>
    <row r="66" spans="5:13">
      <c r="E66" s="1050"/>
      <c r="F66" s="1050"/>
      <c r="G66" s="1050"/>
      <c r="H66" s="1050"/>
      <c r="I66" s="1050"/>
      <c r="M66" s="1050"/>
    </row>
    <row r="67" spans="5:13">
      <c r="E67" s="1050"/>
      <c r="F67" s="1050"/>
      <c r="G67" s="1050"/>
      <c r="H67" s="1050"/>
      <c r="I67" s="1050"/>
      <c r="M67" s="1050"/>
    </row>
    <row r="68" spans="5:13">
      <c r="E68" s="1050"/>
      <c r="F68" s="1050"/>
      <c r="G68" s="1050"/>
      <c r="H68" s="1050"/>
      <c r="I68" s="1050"/>
      <c r="M68" s="1050"/>
    </row>
    <row r="69" spans="5:13">
      <c r="E69" s="1050"/>
      <c r="F69" s="1050"/>
      <c r="G69" s="1050"/>
      <c r="H69" s="1050"/>
      <c r="I69" s="1050"/>
      <c r="M69" s="1050"/>
    </row>
    <row r="70" spans="5:13">
      <c r="E70" s="1050"/>
      <c r="F70" s="1050"/>
      <c r="G70" s="1050"/>
      <c r="H70" s="1050"/>
      <c r="I70" s="1050"/>
      <c r="M70" s="1050"/>
    </row>
    <row r="71" spans="5:13">
      <c r="E71" s="1050"/>
      <c r="F71" s="1050"/>
      <c r="G71" s="1050"/>
      <c r="H71" s="1050"/>
      <c r="I71" s="1050"/>
      <c r="M71" s="1050"/>
    </row>
    <row r="72" spans="5:13">
      <c r="E72" s="1050"/>
      <c r="F72" s="1050"/>
      <c r="G72" s="1050"/>
      <c r="H72" s="1050"/>
      <c r="I72" s="1050"/>
      <c r="M72" s="1050"/>
    </row>
    <row r="73" spans="5:13">
      <c r="E73" s="1050"/>
      <c r="F73" s="1050"/>
      <c r="G73" s="1050"/>
      <c r="H73" s="1050"/>
      <c r="I73" s="1050"/>
      <c r="M73" s="1050"/>
    </row>
    <row r="74" spans="5:13">
      <c r="E74" s="1050"/>
      <c r="F74" s="1050"/>
      <c r="G74" s="1050"/>
      <c r="H74" s="1050"/>
      <c r="I74" s="1050"/>
      <c r="M74" s="1050"/>
    </row>
    <row r="75" spans="5:13">
      <c r="E75" s="1050"/>
      <c r="F75" s="1050"/>
      <c r="G75" s="1050"/>
      <c r="H75" s="1050"/>
      <c r="I75" s="1050"/>
      <c r="M75" s="1050"/>
    </row>
  </sheetData>
  <mergeCells count="2">
    <mergeCell ref="C4:L4"/>
    <mergeCell ref="E15:F15"/>
  </mergeCells>
  <phoneticPr fontId="12" type="noConversion"/>
  <pageMargins left="0.75" right="0.75" top="1" bottom="1" header="0.5" footer="0.5"/>
  <pageSetup paperSize="9" scale="5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28"/>
  <dimension ref="B3:H85"/>
  <sheetViews>
    <sheetView topLeftCell="A46" zoomScale="115" workbookViewId="0">
      <selection activeCell="G83" sqref="G83"/>
    </sheetView>
  </sheetViews>
  <sheetFormatPr defaultColWidth="11.42578125" defaultRowHeight="12.75"/>
  <cols>
    <col min="1" max="3" width="11.42578125" style="91" customWidth="1"/>
    <col min="4" max="4" width="16.5703125" style="91" customWidth="1"/>
    <col min="5" max="5" width="17" style="91" customWidth="1"/>
    <col min="6" max="6" width="14.140625" style="91" customWidth="1"/>
    <col min="7" max="16384" width="11.42578125" style="91"/>
  </cols>
  <sheetData>
    <row r="3" spans="2:8">
      <c r="B3" s="89" t="s">
        <v>918</v>
      </c>
      <c r="C3" s="89"/>
      <c r="D3" s="89"/>
      <c r="E3" s="89"/>
      <c r="F3" s="89"/>
      <c r="G3" s="89"/>
      <c r="H3" s="95"/>
    </row>
    <row r="5" spans="2:8">
      <c r="B5" s="95"/>
      <c r="C5" s="95"/>
      <c r="D5" s="95"/>
      <c r="E5" s="1062"/>
    </row>
    <row r="6" spans="2:8">
      <c r="B6" s="95" t="s">
        <v>918</v>
      </c>
      <c r="C6" s="95"/>
      <c r="D6" s="95"/>
      <c r="E6" s="1082">
        <v>100</v>
      </c>
    </row>
    <row r="7" spans="2:8">
      <c r="B7" s="95"/>
      <c r="C7" s="95"/>
      <c r="D7" s="95"/>
      <c r="E7" s="95"/>
    </row>
    <row r="8" spans="2:8">
      <c r="B8" s="95"/>
      <c r="C8" s="95"/>
      <c r="D8" s="95"/>
      <c r="E8" s="95"/>
    </row>
    <row r="9" spans="2:8">
      <c r="B9" s="332" t="s">
        <v>240</v>
      </c>
      <c r="C9" s="332" t="s">
        <v>241</v>
      </c>
      <c r="D9" s="332" t="s">
        <v>529</v>
      </c>
      <c r="E9" s="332" t="s">
        <v>242</v>
      </c>
      <c r="F9" s="332" t="s">
        <v>316</v>
      </c>
    </row>
    <row r="10" spans="2:8">
      <c r="B10" s="1062">
        <v>1.3</v>
      </c>
      <c r="C10" s="1063">
        <v>4.5</v>
      </c>
      <c r="D10" s="1081">
        <f>4*120</f>
        <v>480</v>
      </c>
      <c r="E10" s="1056">
        <f>[9]!Rho_(11,B10,C10)</f>
        <v>22.032640426004637</v>
      </c>
      <c r="F10" s="1083">
        <f>E10*D10</f>
        <v>10575.667404482225</v>
      </c>
      <c r="G10" s="514"/>
    </row>
    <row r="11" spans="2:8">
      <c r="B11" s="1062">
        <f>B10-E6/1000</f>
        <v>1.2</v>
      </c>
      <c r="C11" s="1063">
        <v>4.5</v>
      </c>
      <c r="D11" s="1081">
        <f>4*120</f>
        <v>480</v>
      </c>
      <c r="E11" s="1056">
        <f>[9]!Rho_(11,B11,C11)</f>
        <v>18.957707001634727</v>
      </c>
      <c r="F11" s="1083">
        <f>E11*D11</f>
        <v>9099.6993607846689</v>
      </c>
      <c r="G11" s="514"/>
    </row>
    <row r="12" spans="2:8">
      <c r="G12" s="514"/>
    </row>
    <row r="13" spans="2:8">
      <c r="E13" s="795" t="s">
        <v>902</v>
      </c>
      <c r="F13" s="1083">
        <f>F10-F11</f>
        <v>1475.9680436975559</v>
      </c>
    </row>
    <row r="14" spans="2:8">
      <c r="E14" s="795" t="s">
        <v>904</v>
      </c>
      <c r="F14" s="1058">
        <v>6</v>
      </c>
    </row>
    <row r="15" spans="2:8">
      <c r="E15" s="795" t="s">
        <v>374</v>
      </c>
      <c r="F15" s="1059">
        <f>F13/F14</f>
        <v>245.99467394959265</v>
      </c>
    </row>
    <row r="16" spans="2:8">
      <c r="E16" s="795" t="s">
        <v>374</v>
      </c>
      <c r="F16" s="1060">
        <f>F15/3.6</f>
        <v>68.331853874886846</v>
      </c>
    </row>
    <row r="17" spans="2:8">
      <c r="E17" s="795"/>
      <c r="F17" s="1060"/>
    </row>
    <row r="18" spans="2:8">
      <c r="B18" s="89" t="s">
        <v>918</v>
      </c>
      <c r="C18" s="89"/>
      <c r="D18" s="89"/>
      <c r="E18" s="89"/>
      <c r="F18" s="89"/>
      <c r="G18" s="89"/>
      <c r="H18" s="95"/>
    </row>
    <row r="20" spans="2:8">
      <c r="B20" s="95"/>
      <c r="C20" s="95"/>
      <c r="D20" s="95"/>
      <c r="E20" s="1062"/>
    </row>
    <row r="21" spans="2:8">
      <c r="B21" s="95" t="s">
        <v>918</v>
      </c>
      <c r="C21" s="95"/>
      <c r="D21" s="95"/>
      <c r="E21" s="1082">
        <v>100</v>
      </c>
    </row>
    <row r="22" spans="2:8">
      <c r="B22" s="95"/>
      <c r="C22" s="95"/>
      <c r="D22" s="95"/>
      <c r="E22" s="95"/>
    </row>
    <row r="23" spans="2:8">
      <c r="B23" s="95"/>
      <c r="C23" s="95"/>
      <c r="D23" s="95"/>
      <c r="E23" s="95"/>
    </row>
    <row r="24" spans="2:8">
      <c r="B24" s="332" t="s">
        <v>240</v>
      </c>
      <c r="C24" s="332" t="s">
        <v>241</v>
      </c>
      <c r="D24" s="332" t="s">
        <v>529</v>
      </c>
      <c r="E24" s="332" t="s">
        <v>242</v>
      </c>
      <c r="F24" s="332" t="s">
        <v>316</v>
      </c>
    </row>
    <row r="25" spans="2:8">
      <c r="B25" s="1062">
        <v>6</v>
      </c>
      <c r="C25" s="1063">
        <v>12</v>
      </c>
      <c r="D25" s="1081">
        <v>40</v>
      </c>
      <c r="E25" s="1056">
        <f>[9]!Rho_(11,B25,C25)</f>
        <v>26.268274766356761</v>
      </c>
      <c r="F25" s="1083">
        <f>E25*D25</f>
        <v>1050.7309906542705</v>
      </c>
      <c r="G25" s="514"/>
    </row>
    <row r="26" spans="2:8">
      <c r="B26" s="1062">
        <v>1.2</v>
      </c>
      <c r="C26" s="1063">
        <v>4.5</v>
      </c>
      <c r="D26" s="1081">
        <v>40</v>
      </c>
      <c r="E26" s="1056">
        <f>[9]!Rho_(11,B26,C26)</f>
        <v>18.957707001634727</v>
      </c>
      <c r="F26" s="1083">
        <f>E26*D26</f>
        <v>758.30828006538911</v>
      </c>
      <c r="G26" s="514"/>
    </row>
    <row r="27" spans="2:8">
      <c r="G27" s="514"/>
    </row>
    <row r="28" spans="2:8">
      <c r="E28" s="795" t="s">
        <v>902</v>
      </c>
      <c r="F28" s="1083">
        <f>F25-F26</f>
        <v>292.42271058888139</v>
      </c>
    </row>
    <row r="29" spans="2:8">
      <c r="E29" s="795" t="s">
        <v>904</v>
      </c>
      <c r="F29" s="1058">
        <v>2</v>
      </c>
    </row>
    <row r="30" spans="2:8">
      <c r="E30" s="795" t="s">
        <v>374</v>
      </c>
      <c r="F30" s="1059">
        <f>F28/F29</f>
        <v>146.21135529444069</v>
      </c>
    </row>
    <row r="31" spans="2:8">
      <c r="E31" s="795" t="s">
        <v>374</v>
      </c>
      <c r="F31" s="1060">
        <f>F30/3.6</f>
        <v>40.614265359566858</v>
      </c>
    </row>
    <row r="32" spans="2:8">
      <c r="E32" s="795"/>
      <c r="F32" s="1060"/>
    </row>
    <row r="33" spans="2:8">
      <c r="E33" s="795"/>
      <c r="F33" s="1060"/>
    </row>
    <row r="34" spans="2:8">
      <c r="E34" s="795"/>
      <c r="F34" s="1060"/>
    </row>
    <row r="35" spans="2:8">
      <c r="E35" s="795"/>
      <c r="F35" s="1060"/>
    </row>
    <row r="36" spans="2:8">
      <c r="E36" s="795"/>
      <c r="F36" s="1060"/>
    </row>
    <row r="37" spans="2:8">
      <c r="E37" s="795"/>
      <c r="F37" s="1060"/>
    </row>
    <row r="38" spans="2:8">
      <c r="E38" s="795"/>
      <c r="F38" s="1060"/>
    </row>
    <row r="39" spans="2:8">
      <c r="E39" s="795"/>
      <c r="F39" s="1060"/>
    </row>
    <row r="40" spans="2:8">
      <c r="E40" s="795"/>
      <c r="F40" s="1060"/>
    </row>
    <row r="41" spans="2:8">
      <c r="E41" s="795"/>
      <c r="F41" s="1060"/>
    </row>
    <row r="42" spans="2:8">
      <c r="B42" s="89" t="s">
        <v>903</v>
      </c>
      <c r="C42" s="89"/>
      <c r="D42" s="89"/>
      <c r="E42" s="89"/>
      <c r="F42" s="89"/>
      <c r="G42" s="89"/>
      <c r="H42" s="95"/>
    </row>
    <row r="44" spans="2:8">
      <c r="B44" s="95"/>
      <c r="C44" s="95"/>
      <c r="D44" s="95"/>
      <c r="E44" s="95"/>
    </row>
    <row r="45" spans="2:8">
      <c r="B45" s="332" t="s">
        <v>240</v>
      </c>
      <c r="C45" s="332" t="s">
        <v>241</v>
      </c>
      <c r="D45" s="332" t="s">
        <v>529</v>
      </c>
      <c r="E45" s="332" t="s">
        <v>242</v>
      </c>
      <c r="F45" s="332" t="s">
        <v>316</v>
      </c>
    </row>
    <row r="46" spans="2:8">
      <c r="B46" s="1062">
        <v>5</v>
      </c>
      <c r="C46" s="1063">
        <v>300</v>
      </c>
      <c r="D46" s="1055">
        <v>40</v>
      </c>
      <c r="E46" s="1056">
        <f>[9]!Rho_(11,B46,C46)</f>
        <v>0.80052421827821918</v>
      </c>
      <c r="F46" s="1057">
        <f>E46*D46</f>
        <v>32.020968731128768</v>
      </c>
      <c r="G46" s="514"/>
    </row>
    <row r="47" spans="2:8">
      <c r="B47" s="1062">
        <v>1.2</v>
      </c>
      <c r="C47" s="1063">
        <v>300</v>
      </c>
      <c r="D47" s="1055">
        <v>40</v>
      </c>
      <c r="E47" s="1056">
        <f>[9]!Rho_(11,B47,C47)</f>
        <v>0.19245916158711063</v>
      </c>
      <c r="F47" s="1057">
        <f>E47*D47</f>
        <v>7.6983664634844251</v>
      </c>
      <c r="G47" s="514"/>
    </row>
    <row r="48" spans="2:8">
      <c r="C48" s="1063"/>
      <c r="G48" s="514"/>
    </row>
    <row r="49" spans="2:7">
      <c r="E49" s="795" t="s">
        <v>902</v>
      </c>
      <c r="F49" s="1057">
        <f>F46-F47</f>
        <v>24.322602267644342</v>
      </c>
    </row>
    <row r="50" spans="2:7">
      <c r="E50" s="795" t="s">
        <v>904</v>
      </c>
      <c r="F50" s="1058">
        <v>0.5</v>
      </c>
    </row>
    <row r="51" spans="2:7">
      <c r="E51" s="795" t="s">
        <v>374</v>
      </c>
      <c r="F51" s="1059">
        <f>F49/F50</f>
        <v>48.645204535288684</v>
      </c>
    </row>
    <row r="52" spans="2:7">
      <c r="E52" s="795" t="s">
        <v>374</v>
      </c>
      <c r="F52" s="1060">
        <f>F51/3.6</f>
        <v>13.512556815357968</v>
      </c>
    </row>
    <row r="56" spans="2:7">
      <c r="B56" s="89" t="s">
        <v>905</v>
      </c>
      <c r="C56" s="89"/>
      <c r="D56" s="89"/>
      <c r="E56" s="89"/>
      <c r="F56" s="89"/>
      <c r="G56" s="89"/>
    </row>
    <row r="58" spans="2:7">
      <c r="B58" s="95"/>
      <c r="C58" s="95"/>
      <c r="D58" s="95"/>
      <c r="E58" s="95"/>
    </row>
    <row r="59" spans="2:7">
      <c r="E59" s="95"/>
    </row>
    <row r="60" spans="2:7">
      <c r="E60" s="95"/>
      <c r="G60" s="514"/>
    </row>
    <row r="61" spans="2:7">
      <c r="E61" s="95"/>
      <c r="G61" s="514"/>
    </row>
    <row r="62" spans="2:7">
      <c r="C62" s="332" t="s">
        <v>240</v>
      </c>
      <c r="D62" s="332" t="s">
        <v>241</v>
      </c>
      <c r="E62" s="332" t="s">
        <v>316</v>
      </c>
      <c r="G62" s="514"/>
    </row>
    <row r="63" spans="2:7">
      <c r="C63" s="1062">
        <v>1.0649999999999999</v>
      </c>
      <c r="D63" s="92">
        <v>10</v>
      </c>
      <c r="E63" s="1060">
        <v>40</v>
      </c>
      <c r="F63" s="1057">
        <f>E63-E64</f>
        <v>0</v>
      </c>
    </row>
    <row r="64" spans="2:7">
      <c r="C64" s="1062">
        <v>1.0649999999999999</v>
      </c>
      <c r="D64" s="92">
        <v>80</v>
      </c>
      <c r="E64" s="1060">
        <v>40</v>
      </c>
      <c r="F64" s="1058">
        <v>0.5</v>
      </c>
    </row>
    <row r="65" spans="2:7">
      <c r="E65" s="95"/>
      <c r="F65" s="1059">
        <f>F63/F64</f>
        <v>0</v>
      </c>
    </row>
    <row r="66" spans="2:7">
      <c r="E66" s="95"/>
      <c r="F66" s="1060">
        <f>F65/3.6</f>
        <v>0</v>
      </c>
    </row>
    <row r="69" spans="2:7">
      <c r="B69" s="89" t="s">
        <v>913</v>
      </c>
      <c r="C69" s="89"/>
      <c r="D69" s="89"/>
      <c r="E69" s="89"/>
      <c r="F69" s="89"/>
      <c r="G69" s="89"/>
    </row>
    <row r="71" spans="2:7">
      <c r="C71" s="133" t="s">
        <v>244</v>
      </c>
      <c r="D71" s="167" t="s">
        <v>21</v>
      </c>
      <c r="E71" s="167" t="s">
        <v>21</v>
      </c>
    </row>
    <row r="72" spans="2:7">
      <c r="C72" s="133" t="s">
        <v>243</v>
      </c>
      <c r="D72" s="88">
        <f>IF(D71&lt;&gt;"",VLOOKUP(D71,Fluides!$C$2:$H$38,6,FALSE),0)</f>
        <v>11</v>
      </c>
      <c r="E72" s="88">
        <f>IF(E71&lt;&gt;"",VLOOKUP(E71,Fluides!$C$2:$H$38,6,FALSE),0)</f>
        <v>11</v>
      </c>
    </row>
    <row r="73" spans="2:7">
      <c r="C73" s="134" t="s">
        <v>240</v>
      </c>
      <c r="D73" s="1062">
        <v>1.2</v>
      </c>
      <c r="E73" s="1062">
        <v>1.2</v>
      </c>
    </row>
    <row r="74" spans="2:7">
      <c r="C74" s="134" t="s">
        <v>241</v>
      </c>
      <c r="D74" s="1063">
        <v>4.4000000000000004</v>
      </c>
      <c r="E74" s="1063">
        <v>4.5</v>
      </c>
    </row>
    <row r="75" spans="2:7">
      <c r="C75" s="134" t="s">
        <v>242</v>
      </c>
      <c r="D75" s="1064">
        <f>[9]!Rho_(D72,D73,D74)</f>
        <v>121.31168475231041</v>
      </c>
      <c r="E75" s="1064">
        <f>[9]!Rho_(E72,E73,E74)</f>
        <v>18.957707001634727</v>
      </c>
    </row>
    <row r="78" spans="2:7">
      <c r="C78" s="91" t="s">
        <v>907</v>
      </c>
      <c r="D78" s="1065">
        <v>88.9</v>
      </c>
      <c r="E78" s="1067">
        <f>120*D75*0.9</f>
        <v>13101.661953249524</v>
      </c>
    </row>
    <row r="80" spans="2:7">
      <c r="C80" s="96" t="s">
        <v>909</v>
      </c>
      <c r="D80" s="1062">
        <v>1.7</v>
      </c>
    </row>
    <row r="81" spans="3:5">
      <c r="C81" s="96" t="s">
        <v>908</v>
      </c>
      <c r="D81" s="1062">
        <v>4</v>
      </c>
    </row>
    <row r="82" spans="3:5">
      <c r="C82" s="96" t="s">
        <v>910</v>
      </c>
      <c r="D82" s="1066">
        <v>12</v>
      </c>
    </row>
    <row r="83" spans="3:5">
      <c r="C83" s="96" t="s">
        <v>821</v>
      </c>
      <c r="D83" s="1066">
        <f>(D81-D80)*D82</f>
        <v>27.599999999999998</v>
      </c>
    </row>
    <row r="84" spans="3:5">
      <c r="C84" s="96" t="s">
        <v>912</v>
      </c>
      <c r="D84" s="1067">
        <f>D83*E75</f>
        <v>523.23271324511848</v>
      </c>
      <c r="E84" s="974">
        <f>D84/E78</f>
        <v>3.9936361899136338E-2</v>
      </c>
    </row>
    <row r="85" spans="3:5">
      <c r="C85" s="1068" t="s">
        <v>911</v>
      </c>
      <c r="D85" s="1069">
        <f>D84/D78</f>
        <v>5.8856323199675868</v>
      </c>
    </row>
  </sheetData>
  <phoneticPr fontId="12" type="noConversion"/>
  <dataValidations disablePrompts="1" count="1">
    <dataValidation type="list" allowBlank="1" showInputMessage="1" showErrorMessage="1" sqref="D71:E71">
      <formula1>GP_fluides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2"/>
  <dimension ref="A4:Q86"/>
  <sheetViews>
    <sheetView zoomScale="130" zoomScaleNormal="130" workbookViewId="0">
      <selection activeCell="C13" sqref="C13"/>
    </sheetView>
  </sheetViews>
  <sheetFormatPr defaultColWidth="11.42578125" defaultRowHeight="12.75"/>
  <cols>
    <col min="1" max="1" width="11.42578125" style="91" customWidth="1"/>
    <col min="2" max="2" width="10.7109375" style="91" bestFit="1" customWidth="1"/>
    <col min="3" max="3" width="17.7109375" style="91" bestFit="1" customWidth="1"/>
    <col min="4" max="4" width="11.42578125" style="91" customWidth="1"/>
    <col min="5" max="5" width="12.42578125" style="91" bestFit="1" customWidth="1"/>
    <col min="6" max="6" width="16.85546875" style="91" customWidth="1"/>
    <col min="7" max="13" width="11.42578125" style="91" customWidth="1"/>
    <col min="14" max="14" width="17" style="91" customWidth="1"/>
    <col min="15" max="15" width="14.140625" style="91" customWidth="1"/>
    <col min="16" max="16384" width="11.42578125" style="91"/>
  </cols>
  <sheetData>
    <row r="4" spans="1:17" s="88" customFormat="1">
      <c r="B4" s="89" t="s">
        <v>435</v>
      </c>
      <c r="C4" s="89"/>
      <c r="D4" s="89"/>
      <c r="E4" s="89"/>
      <c r="F4" s="89"/>
      <c r="G4" s="89"/>
      <c r="H4" s="89"/>
      <c r="I4" s="89"/>
    </row>
    <row r="5" spans="1:17" s="92" customFormat="1"/>
    <row r="6" spans="1:17" s="92" customFormat="1">
      <c r="B6" s="133" t="s">
        <v>244</v>
      </c>
      <c r="C6" s="167" t="s">
        <v>168</v>
      </c>
    </row>
    <row r="7" spans="1:17" s="92" customFormat="1">
      <c r="B7" s="133" t="s">
        <v>243</v>
      </c>
      <c r="C7" s="88">
        <f>IF(C6&lt;&gt;"",VLOOKUP(C6,Fluides!$C$2:$H$38,6,FALSE),0)</f>
        <v>21</v>
      </c>
      <c r="F7" s="329" t="s">
        <v>810</v>
      </c>
      <c r="G7" s="330"/>
      <c r="H7" s="330"/>
      <c r="M7" s="92">
        <v>280</v>
      </c>
    </row>
    <row r="8" spans="1:17" s="92" customFormat="1">
      <c r="A8" s="472"/>
      <c r="B8" s="850" t="s">
        <v>86</v>
      </c>
      <c r="C8" s="851">
        <f>IF($B$12="Nm3/h",44.6153*C12*C17/3600,C12)</f>
        <v>280</v>
      </c>
      <c r="D8" s="472"/>
      <c r="E8" s="472"/>
      <c r="F8" s="91" t="s">
        <v>817</v>
      </c>
      <c r="G8" s="91"/>
      <c r="H8" s="856">
        <v>122</v>
      </c>
      <c r="L8" s="92" t="s">
        <v>834</v>
      </c>
      <c r="M8" s="976">
        <f>M7*P8</f>
        <v>176.4</v>
      </c>
      <c r="N8" s="977">
        <f>M8*3.6</f>
        <v>635.04000000000008</v>
      </c>
      <c r="O8" s="978">
        <f>N8/Q8</f>
        <v>5.2052459016393451</v>
      </c>
      <c r="P8" s="974">
        <v>0.63</v>
      </c>
      <c r="Q8" s="975">
        <v>122</v>
      </c>
    </row>
    <row r="9" spans="1:17" s="92" customFormat="1">
      <c r="A9" s="472"/>
      <c r="B9" s="850" t="s">
        <v>806</v>
      </c>
      <c r="C9" s="851">
        <f>C8*3.6</f>
        <v>1008</v>
      </c>
      <c r="D9" s="472" t="s">
        <v>806</v>
      </c>
      <c r="E9" s="472"/>
      <c r="F9" s="91" t="s">
        <v>818</v>
      </c>
      <c r="G9" s="91"/>
      <c r="H9" s="856">
        <v>0.16700000000000001</v>
      </c>
      <c r="L9" s="92" t="s">
        <v>857</v>
      </c>
      <c r="M9" s="976">
        <f>M7*P9</f>
        <v>103.6</v>
      </c>
      <c r="N9" s="977">
        <f>M9*3.6</f>
        <v>372.96</v>
      </c>
      <c r="O9" s="978">
        <f>N9/Q9</f>
        <v>18.648</v>
      </c>
      <c r="P9" s="974">
        <f>1-P8</f>
        <v>0.37</v>
      </c>
      <c r="Q9" s="975">
        <v>20</v>
      </c>
    </row>
    <row r="10" spans="1:17" s="92" customFormat="1">
      <c r="A10" s="472"/>
      <c r="B10" s="850" t="s">
        <v>803</v>
      </c>
      <c r="C10" s="852">
        <f>IF($B$12="g/s",C12*3.6/C16,C12)</f>
        <v>816.80188569712891</v>
      </c>
      <c r="D10" s="472"/>
      <c r="E10" s="472"/>
      <c r="F10" s="91" t="s">
        <v>811</v>
      </c>
      <c r="G10" s="91"/>
      <c r="H10" s="861">
        <f>(H8/1000)/H9</f>
        <v>0.73053892215568861</v>
      </c>
      <c r="O10" s="979">
        <f>O9+O8</f>
        <v>23.853245901639344</v>
      </c>
    </row>
    <row r="11" spans="1:17" s="92" customFormat="1">
      <c r="A11" s="472"/>
      <c r="B11" s="850" t="s">
        <v>424</v>
      </c>
      <c r="C11" s="851">
        <f>C8*3.6/C15*1000</f>
        <v>1244.1329376034651</v>
      </c>
      <c r="D11" s="472"/>
      <c r="E11" s="472"/>
    </row>
    <row r="12" spans="1:17" s="92" customFormat="1">
      <c r="A12" s="472"/>
      <c r="B12" s="832" t="s">
        <v>86</v>
      </c>
      <c r="C12" s="973">
        <v>280</v>
      </c>
      <c r="D12" s="472"/>
      <c r="E12" s="472"/>
    </row>
    <row r="13" spans="1:17">
      <c r="B13" s="134" t="s">
        <v>240</v>
      </c>
      <c r="C13" s="167">
        <v>1</v>
      </c>
      <c r="D13" s="91" t="s">
        <v>84</v>
      </c>
      <c r="F13" s="91" t="s">
        <v>374</v>
      </c>
      <c r="H13" s="857">
        <v>50</v>
      </c>
      <c r="J13" s="92"/>
      <c r="L13" s="92"/>
      <c r="M13" s="92"/>
      <c r="N13" s="92"/>
      <c r="O13" s="92"/>
    </row>
    <row r="14" spans="1:17">
      <c r="B14" s="134" t="s">
        <v>241</v>
      </c>
      <c r="C14" s="853">
        <v>77</v>
      </c>
      <c r="D14" s="91" t="s">
        <v>96</v>
      </c>
      <c r="F14" s="91" t="s">
        <v>812</v>
      </c>
      <c r="H14" s="858">
        <v>5</v>
      </c>
      <c r="J14" s="92"/>
      <c r="L14" s="92"/>
      <c r="M14" s="92">
        <v>70</v>
      </c>
      <c r="N14" s="92"/>
      <c r="O14" s="92"/>
      <c r="P14" s="92"/>
      <c r="Q14" s="92"/>
    </row>
    <row r="15" spans="1:17">
      <c r="B15" s="134" t="s">
        <v>242</v>
      </c>
      <c r="C15" s="855">
        <f>[9]!Rho_(C7,C13,C14)</f>
        <v>810.20280834432322</v>
      </c>
      <c r="D15" s="91" t="s">
        <v>82</v>
      </c>
      <c r="F15" s="859" t="s">
        <v>813</v>
      </c>
      <c r="H15" s="858">
        <v>1.5</v>
      </c>
      <c r="I15" s="92"/>
      <c r="J15" s="92"/>
      <c r="K15" s="92"/>
      <c r="L15" s="92" t="s">
        <v>834</v>
      </c>
      <c r="M15" s="976">
        <f>M14*P15</f>
        <v>44.1</v>
      </c>
      <c r="N15" s="977">
        <f>M15*3.6</f>
        <v>158.76000000000002</v>
      </c>
      <c r="O15" s="978">
        <f>N15/Q15</f>
        <v>1.3013114754098363</v>
      </c>
      <c r="P15" s="974">
        <v>0.63</v>
      </c>
      <c r="Q15" s="975">
        <v>122</v>
      </c>
    </row>
    <row r="16" spans="1:17">
      <c r="B16" s="134" t="s">
        <v>804</v>
      </c>
      <c r="C16" s="855">
        <f>[9]!Rho_(C7,1,273.15)</f>
        <v>1.2340813820963283</v>
      </c>
      <c r="D16" s="91" t="s">
        <v>805</v>
      </c>
      <c r="F16" s="849"/>
      <c r="G16" s="472"/>
      <c r="H16" s="92"/>
      <c r="I16" s="92"/>
      <c r="J16" s="92"/>
      <c r="K16" s="92"/>
      <c r="L16" s="92" t="s">
        <v>857</v>
      </c>
      <c r="M16" s="976">
        <f>M14*P16</f>
        <v>25.9</v>
      </c>
      <c r="N16" s="977">
        <f>M16*3.6</f>
        <v>93.24</v>
      </c>
      <c r="O16" s="978">
        <f>N16/Q16</f>
        <v>4.6619999999999999</v>
      </c>
      <c r="P16" s="974">
        <f>1-P15</f>
        <v>0.37</v>
      </c>
      <c r="Q16" s="975">
        <v>20</v>
      </c>
    </row>
    <row r="17" spans="2:17">
      <c r="B17" s="134" t="s">
        <v>227</v>
      </c>
      <c r="C17" s="135">
        <f>[9]!FConstant(C7,12)</f>
        <v>28.013400000000001</v>
      </c>
      <c r="F17" s="94" t="s">
        <v>815</v>
      </c>
      <c r="G17" s="94"/>
      <c r="H17" s="861">
        <f>H10*H13</f>
        <v>36.526946107784433</v>
      </c>
      <c r="J17" s="92"/>
      <c r="K17" s="92"/>
      <c r="L17" s="92"/>
      <c r="M17" s="92"/>
      <c r="N17" s="92"/>
      <c r="O17" s="979">
        <f>O16+O15</f>
        <v>5.963311475409836</v>
      </c>
      <c r="P17" s="92"/>
      <c r="Q17" s="92"/>
    </row>
    <row r="18" spans="2:17" ht="13.5" thickBot="1">
      <c r="B18" s="134" t="s">
        <v>246</v>
      </c>
      <c r="C18" s="135">
        <f>[9]!H_($C$7,$C$13,$C$14)</f>
        <v>-121.86447335592744</v>
      </c>
      <c r="D18" s="91" t="s">
        <v>251</v>
      </c>
      <c r="F18" s="860" t="s">
        <v>814</v>
      </c>
      <c r="G18" s="231"/>
      <c r="H18" s="862">
        <f>H15*H17/H14</f>
        <v>10.95808383233533</v>
      </c>
      <c r="J18" s="92"/>
      <c r="K18" s="92"/>
      <c r="L18" s="92"/>
      <c r="M18" s="92"/>
      <c r="N18" s="92"/>
      <c r="O18" s="92"/>
    </row>
    <row r="19" spans="2:17">
      <c r="B19" s="134" t="s">
        <v>247</v>
      </c>
      <c r="C19" s="135">
        <f>[9]!U_($C$7,$C$13,$C$14)</f>
        <v>-121.98789924290794</v>
      </c>
      <c r="D19" s="91" t="s">
        <v>251</v>
      </c>
      <c r="F19" s="849" t="s">
        <v>816</v>
      </c>
      <c r="H19" s="863">
        <f>H18+H17</f>
        <v>47.485029940119759</v>
      </c>
      <c r="J19" s="92"/>
      <c r="K19" s="92"/>
      <c r="L19" s="92"/>
      <c r="M19" s="92"/>
      <c r="N19" s="92"/>
      <c r="O19" s="92"/>
    </row>
    <row r="20" spans="2:17">
      <c r="B20" s="134" t="s">
        <v>248</v>
      </c>
      <c r="C20" s="135">
        <f>[9]!S_($C$7,$C$13,$C$14)</f>
        <v>2.8295174079189684</v>
      </c>
      <c r="D20" s="91" t="s">
        <v>251</v>
      </c>
      <c r="J20" s="92"/>
      <c r="K20" s="92"/>
    </row>
    <row r="21" spans="2:17">
      <c r="B21" s="134" t="s">
        <v>245</v>
      </c>
      <c r="C21" s="864" t="e">
        <f ca="1">Hvap_($C$7,$C$13,$C$14)</f>
        <v>#NAME?</v>
      </c>
      <c r="D21" s="91" t="s">
        <v>251</v>
      </c>
      <c r="J21" s="92"/>
      <c r="K21" s="92"/>
    </row>
    <row r="22" spans="2:17">
      <c r="B22" s="134" t="s">
        <v>245</v>
      </c>
      <c r="C22" s="864" t="e">
        <f ca="1">Hvap_($C$7,$C$13,$C$14)</f>
        <v>#NAME?</v>
      </c>
      <c r="D22" s="91" t="s">
        <v>251</v>
      </c>
      <c r="J22" s="92"/>
      <c r="K22" s="92"/>
    </row>
    <row r="23" spans="2:17">
      <c r="B23" s="134" t="s">
        <v>249</v>
      </c>
      <c r="C23" s="135">
        <f>[9]!cp_($C$7,$C$13,$C$14)</f>
        <v>2.0622370798334022</v>
      </c>
      <c r="D23" s="91" t="s">
        <v>251</v>
      </c>
    </row>
    <row r="24" spans="2:17">
      <c r="B24" s="134" t="s">
        <v>250</v>
      </c>
      <c r="C24" s="135">
        <f>[9]!Cv_($C$7,$C$13,$C$14)</f>
        <v>0.99476298144186082</v>
      </c>
      <c r="D24" s="91" t="s">
        <v>251</v>
      </c>
    </row>
    <row r="25" spans="2:17">
      <c r="B25" s="134" t="s">
        <v>807</v>
      </c>
      <c r="C25" s="854">
        <f>[9]!lambda_($C$7,$C$13,$C$14)</f>
        <v>0.13418904094667522</v>
      </c>
      <c r="D25" s="91" t="s">
        <v>808</v>
      </c>
    </row>
    <row r="26" spans="2:17">
      <c r="B26" s="134" t="s">
        <v>271</v>
      </c>
      <c r="C26" s="135">
        <f>[9]!T_sat($C$7,$C$13)</f>
        <v>77.250978705448887</v>
      </c>
      <c r="D26" s="91" t="s">
        <v>96</v>
      </c>
      <c r="E26" s="168">
        <f>C26-273.15</f>
        <v>-195.89902129455109</v>
      </c>
      <c r="F26" s="91" t="s">
        <v>303</v>
      </c>
    </row>
    <row r="27" spans="2:17">
      <c r="B27" s="134" t="s">
        <v>272</v>
      </c>
      <c r="C27" s="135">
        <f>[9]!P_sat($C$7,$C$14)</f>
        <v>0.97070786820897292</v>
      </c>
      <c r="D27" s="91" t="s">
        <v>84</v>
      </c>
    </row>
    <row r="28" spans="2:17">
      <c r="C28" s="91">
        <f>[9]!g_(C7,C13,C14)</f>
        <v>2.0730939111186961</v>
      </c>
    </row>
    <row r="29" spans="2:17">
      <c r="C29" s="91">
        <f>C23/C24</f>
        <v>2.0730939111186961</v>
      </c>
    </row>
    <row r="30" spans="2:17">
      <c r="B30" s="89" t="s">
        <v>325</v>
      </c>
      <c r="C30" s="89"/>
      <c r="D30" s="89"/>
      <c r="E30" s="89"/>
      <c r="F30" s="89"/>
      <c r="G30" s="89"/>
      <c r="H30" s="89"/>
      <c r="I30" s="89"/>
      <c r="K30" s="95" t="s">
        <v>903</v>
      </c>
      <c r="L30" s="95"/>
      <c r="M30" s="95"/>
      <c r="N30" s="95"/>
      <c r="O30" s="95"/>
      <c r="P30" s="95"/>
      <c r="Q30" s="95"/>
    </row>
    <row r="32" spans="2:17">
      <c r="K32" s="95"/>
      <c r="L32" s="95"/>
      <c r="M32" s="95"/>
      <c r="N32" s="95"/>
    </row>
    <row r="33" spans="8:16">
      <c r="K33" s="332" t="s">
        <v>240</v>
      </c>
      <c r="L33" s="332" t="s">
        <v>241</v>
      </c>
      <c r="M33" s="332" t="s">
        <v>529</v>
      </c>
      <c r="N33" s="332" t="s">
        <v>242</v>
      </c>
    </row>
    <row r="34" spans="8:16">
      <c r="H34" s="91" t="s">
        <v>316</v>
      </c>
      <c r="K34" s="92">
        <v>5</v>
      </c>
      <c r="L34" s="92">
        <v>300</v>
      </c>
      <c r="M34" s="1055">
        <v>40</v>
      </c>
      <c r="N34" s="1056">
        <f>[9]!Rho_(11,K34,L34)</f>
        <v>0.80052421827821918</v>
      </c>
      <c r="O34" s="1057">
        <f>N34*M34</f>
        <v>32.020968731128768</v>
      </c>
      <c r="P34" s="514"/>
    </row>
    <row r="35" spans="8:16">
      <c r="H35" s="91" t="s">
        <v>241</v>
      </c>
      <c r="K35" s="92">
        <v>1.2</v>
      </c>
      <c r="L35" s="92">
        <v>300</v>
      </c>
      <c r="M35" s="1055">
        <v>40</v>
      </c>
      <c r="N35" s="1056">
        <f>[9]!Rho_(11,K35,L35)</f>
        <v>0.19245916158711063</v>
      </c>
      <c r="O35" s="1057">
        <f>N35*M35</f>
        <v>7.6983664634844251</v>
      </c>
      <c r="P35" s="514"/>
    </row>
    <row r="36" spans="8:16">
      <c r="H36" s="91" t="s">
        <v>240</v>
      </c>
      <c r="P36" s="514"/>
    </row>
    <row r="37" spans="8:16">
      <c r="H37" s="91" t="s">
        <v>618</v>
      </c>
      <c r="N37" s="796" t="s">
        <v>902</v>
      </c>
      <c r="O37" s="1057">
        <f>O34-O35</f>
        <v>24.322602267644342</v>
      </c>
    </row>
    <row r="38" spans="8:16">
      <c r="O38" s="1058">
        <v>0.5</v>
      </c>
    </row>
    <row r="39" spans="8:16">
      <c r="O39" s="1059">
        <f>O37/O38</f>
        <v>48.645204535288684</v>
      </c>
    </row>
    <row r="40" spans="8:16">
      <c r="O40" s="1060">
        <f>O39/3.6</f>
        <v>13.512556815357968</v>
      </c>
    </row>
    <row r="68" spans="2:9">
      <c r="B68" s="89" t="s">
        <v>378</v>
      </c>
      <c r="C68" s="89"/>
      <c r="D68" s="89"/>
      <c r="E68" s="89"/>
      <c r="F68" s="89"/>
      <c r="G68" s="89"/>
      <c r="H68" s="89"/>
      <c r="I68" s="89"/>
    </row>
    <row r="72" spans="2:9">
      <c r="B72" s="133" t="s">
        <v>244</v>
      </c>
      <c r="C72" s="167" t="s">
        <v>5</v>
      </c>
      <c r="D72" s="92"/>
    </row>
    <row r="73" spans="2:9">
      <c r="B73" s="133" t="s">
        <v>243</v>
      </c>
      <c r="C73" s="88" t="e">
        <f>IF(C72&lt;&gt;"",VLOOKUP(C72,Fluides!$C$2:$H$38,6,FALSE),0)</f>
        <v>#N/A</v>
      </c>
      <c r="D73" s="92"/>
    </row>
    <row r="74" spans="2:9">
      <c r="B74" s="134" t="s">
        <v>240</v>
      </c>
      <c r="C74" s="167">
        <v>9.5</v>
      </c>
      <c r="D74" s="91" t="s">
        <v>84</v>
      </c>
    </row>
    <row r="75" spans="2:9">
      <c r="B75" s="134" t="s">
        <v>241</v>
      </c>
      <c r="C75" s="167">
        <v>300</v>
      </c>
      <c r="D75" s="91" t="s">
        <v>96</v>
      </c>
    </row>
    <row r="76" spans="2:9">
      <c r="B76" s="134" t="s">
        <v>370</v>
      </c>
      <c r="C76" s="135" t="e">
        <f>[9]!Rho_(C73,C74,C75)</f>
        <v>#VALUE!</v>
      </c>
      <c r="D76" s="91" t="s">
        <v>82</v>
      </c>
    </row>
    <row r="77" spans="2:9">
      <c r="B77" s="134" t="s">
        <v>371</v>
      </c>
      <c r="C77" s="92">
        <v>12000</v>
      </c>
    </row>
    <row r="78" spans="2:9">
      <c r="B78" s="134" t="s">
        <v>372</v>
      </c>
      <c r="C78" s="92" t="e">
        <f>(C77/C76)^(1/2)</f>
        <v>#VALUE!</v>
      </c>
      <c r="D78" s="91" t="s">
        <v>113</v>
      </c>
    </row>
    <row r="80" spans="2:9">
      <c r="B80" s="91" t="s">
        <v>373</v>
      </c>
    </row>
    <row r="82" spans="2:4">
      <c r="B82" s="134" t="s">
        <v>372</v>
      </c>
      <c r="C82" s="92">
        <v>20</v>
      </c>
    </row>
    <row r="83" spans="2:4">
      <c r="B83" s="134" t="s">
        <v>370</v>
      </c>
      <c r="C83" s="135" t="str">
        <f>[9]!Rho_(C80,C81,#REF!)</f>
        <v/>
      </c>
      <c r="D83" s="91" t="s">
        <v>82</v>
      </c>
    </row>
    <row r="84" spans="2:4">
      <c r="B84" s="134" t="s">
        <v>374</v>
      </c>
      <c r="C84" s="92">
        <v>283</v>
      </c>
      <c r="D84" s="91" t="s">
        <v>375</v>
      </c>
    </row>
    <row r="86" spans="2:4">
      <c r="B86" s="134" t="s">
        <v>376</v>
      </c>
      <c r="C86" s="92">
        <f>((4*C84)/(3600*C82*PI()))^(1/2)*1000</f>
        <v>70.742764761576993</v>
      </c>
      <c r="D86" s="91" t="s">
        <v>377</v>
      </c>
    </row>
  </sheetData>
  <protectedRanges>
    <protectedRange sqref="B12:C12 C8:C9" name="Process"/>
  </protectedRanges>
  <phoneticPr fontId="12" type="noConversion"/>
  <dataValidations count="2">
    <dataValidation type="list" allowBlank="1" showInputMessage="1" showErrorMessage="1" sqref="C6 C72">
      <formula1>GP_fluides</formula1>
    </dataValidation>
    <dataValidation type="list" allowBlank="1" showInputMessage="1" showErrorMessage="1" sqref="B12">
      <formula1>$B$8:$B$10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33"/>
  <dimension ref="A4:Q86"/>
  <sheetViews>
    <sheetView zoomScale="70" workbookViewId="0">
      <selection activeCell="B45" sqref="B45"/>
    </sheetView>
  </sheetViews>
  <sheetFormatPr defaultColWidth="11.42578125" defaultRowHeight="12.75"/>
  <cols>
    <col min="1" max="1" width="11.42578125" style="91" customWidth="1"/>
    <col min="2" max="2" width="10.7109375" style="91" bestFit="1" customWidth="1"/>
    <col min="3" max="3" width="17.7109375" style="91" bestFit="1" customWidth="1"/>
    <col min="4" max="4" width="11.42578125" style="91" customWidth="1"/>
    <col min="5" max="5" width="13" style="91" bestFit="1" customWidth="1"/>
    <col min="6" max="6" width="16.85546875" style="91" customWidth="1"/>
    <col min="7" max="13" width="11.42578125" style="91" customWidth="1"/>
    <col min="14" max="14" width="17" style="91" customWidth="1"/>
    <col min="15" max="15" width="14.140625" style="91" customWidth="1"/>
    <col min="16" max="16384" width="11.42578125" style="91"/>
  </cols>
  <sheetData>
    <row r="4" spans="1:17" s="88" customFormat="1">
      <c r="B4" s="89" t="s">
        <v>435</v>
      </c>
      <c r="C4" s="89"/>
      <c r="D4" s="89"/>
      <c r="E4" s="89"/>
      <c r="F4" s="89"/>
      <c r="G4" s="89"/>
      <c r="H4" s="89"/>
      <c r="I4" s="89"/>
    </row>
    <row r="5" spans="1:17" s="92" customFormat="1"/>
    <row r="6" spans="1:17" s="92" customFormat="1">
      <c r="B6" s="133" t="s">
        <v>244</v>
      </c>
      <c r="C6" s="167" t="s">
        <v>21</v>
      </c>
      <c r="E6" s="167" t="s">
        <v>21</v>
      </c>
    </row>
    <row r="7" spans="1:17" s="92" customFormat="1">
      <c r="B7" s="133" t="s">
        <v>243</v>
      </c>
      <c r="C7" s="88">
        <f>IF(C6&lt;&gt;"",VLOOKUP(C6,Fluides!$C$2:$H$38,6,FALSE),0)</f>
        <v>11</v>
      </c>
      <c r="E7" s="88">
        <f>IF(E6&lt;&gt;"",VLOOKUP(E6,Fluides!C2:H38,6,FALSE),0)</f>
        <v>11</v>
      </c>
      <c r="M7" s="92">
        <v>280</v>
      </c>
    </row>
    <row r="8" spans="1:17" s="92" customFormat="1">
      <c r="A8" s="472"/>
      <c r="B8" s="850" t="s">
        <v>86</v>
      </c>
      <c r="C8" s="851">
        <f>IF(B12="Nm3/h",44.6153*C12*C17/3600,C12)</f>
        <v>7</v>
      </c>
      <c r="D8" s="472"/>
      <c r="E8" s="851">
        <f>IF(D12="Nm3/h",44.6153*E12*E17/3600,E12)</f>
        <v>7</v>
      </c>
      <c r="F8" s="472"/>
      <c r="L8" s="92" t="s">
        <v>834</v>
      </c>
      <c r="M8" s="976">
        <f>M7*P8</f>
        <v>176.4</v>
      </c>
      <c r="N8" s="977">
        <f>M8*3.6</f>
        <v>635.04000000000008</v>
      </c>
      <c r="O8" s="978">
        <f>N8/Q8</f>
        <v>5.2052459016393451</v>
      </c>
      <c r="P8" s="974">
        <v>0.63</v>
      </c>
      <c r="Q8" s="975">
        <v>122</v>
      </c>
    </row>
    <row r="9" spans="1:17" s="92" customFormat="1">
      <c r="A9" s="472"/>
      <c r="B9" s="850" t="s">
        <v>806</v>
      </c>
      <c r="C9" s="851">
        <f>C8*3.6</f>
        <v>25.2</v>
      </c>
      <c r="D9" s="472" t="s">
        <v>806</v>
      </c>
      <c r="E9" s="851">
        <f>E8*3.6</f>
        <v>25.2</v>
      </c>
      <c r="F9" s="472" t="s">
        <v>806</v>
      </c>
      <c r="L9" s="92" t="s">
        <v>857</v>
      </c>
      <c r="M9" s="976">
        <f>M7*P9</f>
        <v>103.6</v>
      </c>
      <c r="N9" s="977">
        <f>M9*3.6</f>
        <v>372.96</v>
      </c>
      <c r="O9" s="978">
        <f>N9/Q9</f>
        <v>18.648</v>
      </c>
      <c r="P9" s="974">
        <f>1-P8</f>
        <v>0.37</v>
      </c>
      <c r="Q9" s="975">
        <v>20</v>
      </c>
    </row>
    <row r="10" spans="1:17" s="92" customFormat="1">
      <c r="A10" s="472"/>
      <c r="B10" s="850" t="s">
        <v>803</v>
      </c>
      <c r="C10" s="852">
        <f>IF(B12="g/s",C12*3.6/C16,C12)</f>
        <v>143.05587168669439</v>
      </c>
      <c r="D10" s="472"/>
      <c r="E10" s="852">
        <f>IF(D12="g/s",E12*3.6/E16,E12)</f>
        <v>7</v>
      </c>
      <c r="F10" s="472"/>
      <c r="O10" s="979">
        <f>O9+O8</f>
        <v>23.853245901639344</v>
      </c>
    </row>
    <row r="11" spans="1:17" s="92" customFormat="1">
      <c r="A11" s="472"/>
      <c r="B11" s="850" t="s">
        <v>424</v>
      </c>
      <c r="C11" s="851">
        <f>C8*3.6/C15*1000</f>
        <v>41951.6385610609</v>
      </c>
      <c r="D11" s="472"/>
      <c r="E11" s="851">
        <f>E8*3.6/E15*1000</f>
        <v>83828.498679954326</v>
      </c>
      <c r="F11" s="472"/>
    </row>
    <row r="12" spans="1:17" s="92" customFormat="1">
      <c r="A12" s="472"/>
      <c r="B12" s="832" t="s">
        <v>86</v>
      </c>
      <c r="C12" s="973">
        <v>7</v>
      </c>
      <c r="D12" s="472"/>
      <c r="E12" s="973">
        <v>7</v>
      </c>
      <c r="F12" s="472"/>
      <c r="G12" s="92" t="s">
        <v>963</v>
      </c>
    </row>
    <row r="13" spans="1:17">
      <c r="B13" s="134" t="s">
        <v>240</v>
      </c>
      <c r="C13" s="167">
        <v>1</v>
      </c>
      <c r="D13" s="91" t="s">
        <v>84</v>
      </c>
      <c r="E13" s="167">
        <v>0.5</v>
      </c>
      <c r="F13" s="91" t="s">
        <v>84</v>
      </c>
      <c r="G13" s="1120">
        <f>+C13-E13</f>
        <v>0.5</v>
      </c>
      <c r="H13" s="92">
        <f>(2*G13*10^5) ^0.5/E10</f>
        <v>45.175395145262563</v>
      </c>
      <c r="I13" s="92"/>
      <c r="J13" s="92"/>
      <c r="L13" s="92"/>
      <c r="M13" s="92"/>
      <c r="N13" s="92"/>
      <c r="O13" s="92"/>
    </row>
    <row r="14" spans="1:17">
      <c r="B14" s="134" t="s">
        <v>241</v>
      </c>
      <c r="C14" s="853">
        <v>80</v>
      </c>
      <c r="D14" s="91" t="s">
        <v>96</v>
      </c>
      <c r="E14" s="853">
        <v>80</v>
      </c>
      <c r="F14" s="91" t="s">
        <v>96</v>
      </c>
      <c r="G14" s="92"/>
      <c r="H14" s="92"/>
      <c r="I14" s="92"/>
      <c r="J14" s="92"/>
      <c r="L14" s="92"/>
      <c r="M14" s="92">
        <v>70</v>
      </c>
      <c r="N14" s="92"/>
      <c r="O14" s="92"/>
      <c r="P14" s="92"/>
      <c r="Q14" s="92"/>
    </row>
    <row r="15" spans="1:17">
      <c r="B15" s="134" t="s">
        <v>242</v>
      </c>
      <c r="C15" s="855">
        <f>[9]!Rho_(C7,C13,C14)</f>
        <v>0.60069167413618962</v>
      </c>
      <c r="D15" s="91" t="s">
        <v>82</v>
      </c>
      <c r="E15" s="855">
        <f>[9]!Rho_(E7,E13,E14)</f>
        <v>0.30061375781296207</v>
      </c>
      <c r="F15" s="91" t="s">
        <v>82</v>
      </c>
      <c r="G15" s="92"/>
      <c r="H15" s="92"/>
      <c r="I15" s="92"/>
      <c r="J15" s="92"/>
      <c r="K15" s="92"/>
      <c r="L15" s="92" t="s">
        <v>834</v>
      </c>
      <c r="M15" s="976">
        <f>M14*P15</f>
        <v>44.1</v>
      </c>
      <c r="N15" s="977">
        <f>M15*3.6</f>
        <v>158.76000000000002</v>
      </c>
      <c r="O15" s="978">
        <f>N15/Q15</f>
        <v>1.3013114754098363</v>
      </c>
      <c r="P15" s="974">
        <v>0.63</v>
      </c>
      <c r="Q15" s="975">
        <v>122</v>
      </c>
    </row>
    <row r="16" spans="1:17">
      <c r="B16" s="134" t="s">
        <v>804</v>
      </c>
      <c r="C16" s="855">
        <f>[9]!Rho_(C7,1,273.15)</f>
        <v>0.17615495053003022</v>
      </c>
      <c r="D16" s="91" t="s">
        <v>805</v>
      </c>
      <c r="E16" s="855">
        <f>[9]!Rho_(E7,1,273.15)</f>
        <v>0.17615495053003022</v>
      </c>
      <c r="F16" s="91" t="s">
        <v>805</v>
      </c>
      <c r="G16" s="92"/>
      <c r="H16" s="92"/>
      <c r="I16" s="92"/>
      <c r="J16" s="92"/>
      <c r="K16" s="92"/>
      <c r="L16" s="92" t="s">
        <v>857</v>
      </c>
      <c r="M16" s="976">
        <f>M14*P16</f>
        <v>25.9</v>
      </c>
      <c r="N16" s="977">
        <f>M16*3.6</f>
        <v>93.24</v>
      </c>
      <c r="O16" s="978">
        <f>N16/Q16</f>
        <v>4.6619999999999999</v>
      </c>
      <c r="P16" s="974">
        <f>1-P15</f>
        <v>0.37</v>
      </c>
      <c r="Q16" s="975">
        <v>20</v>
      </c>
    </row>
    <row r="17" spans="2:17">
      <c r="B17" s="134" t="s">
        <v>227</v>
      </c>
      <c r="C17" s="135">
        <f>[9]!FConstant(C7,12)</f>
        <v>4.0026000000000002</v>
      </c>
      <c r="E17" s="135">
        <f>[9]!FConstant(E7,12)</f>
        <v>4.0026000000000002</v>
      </c>
      <c r="G17" s="92" t="s">
        <v>963</v>
      </c>
      <c r="H17" s="92"/>
      <c r="I17" s="92"/>
      <c r="J17" s="92"/>
      <c r="K17" s="92"/>
      <c r="L17" s="92"/>
      <c r="M17" s="92"/>
      <c r="N17" s="92"/>
      <c r="O17" s="979">
        <f>O16+O15</f>
        <v>5.963311475409836</v>
      </c>
      <c r="P17" s="92"/>
      <c r="Q17" s="92"/>
    </row>
    <row r="18" spans="2:17">
      <c r="B18" s="134" t="s">
        <v>246</v>
      </c>
      <c r="C18" s="135">
        <f>[9]!H_(C7,C13,C14)</f>
        <v>430.96715804238534</v>
      </c>
      <c r="D18" s="91" t="s">
        <v>251</v>
      </c>
      <c r="E18" s="135">
        <f>[9]!H_(E7,E13,E14)</f>
        <v>430.84254185183812</v>
      </c>
      <c r="F18" s="91" t="s">
        <v>251</v>
      </c>
      <c r="G18" s="1120">
        <f>(C18-E18)</f>
        <v>0.12461619054721496</v>
      </c>
      <c r="H18" s="92">
        <f>(2*G18) ^0.5</f>
        <v>0.49923179094928433</v>
      </c>
      <c r="I18" s="92"/>
      <c r="J18" s="92"/>
      <c r="K18" s="92"/>
      <c r="L18" s="92"/>
      <c r="M18" s="92"/>
      <c r="N18" s="92"/>
      <c r="O18" s="92"/>
    </row>
    <row r="19" spans="2:17">
      <c r="B19" s="134" t="s">
        <v>247</v>
      </c>
      <c r="C19" s="135">
        <f>[9]!U_(C7,C13,C14)</f>
        <v>264.49240184769923</v>
      </c>
      <c r="D19" s="91" t="s">
        <v>251</v>
      </c>
      <c r="E19" s="135">
        <f>[9]!U_(E7,E13,E14)</f>
        <v>264.51615619174851</v>
      </c>
      <c r="F19" s="91" t="s">
        <v>251</v>
      </c>
      <c r="G19" s="92"/>
      <c r="H19" s="92"/>
      <c r="I19" s="92"/>
      <c r="J19" s="92"/>
      <c r="K19" s="92"/>
      <c r="L19" s="92"/>
      <c r="M19" s="92"/>
      <c r="N19" s="92"/>
      <c r="O19" s="92"/>
    </row>
    <row r="20" spans="2:17">
      <c r="B20" s="134" t="s">
        <v>248</v>
      </c>
      <c r="C20" s="135">
        <f>[9]!S_(C7,C13,C14)</f>
        <v>24.747007430267843</v>
      </c>
      <c r="D20" s="91" t="s">
        <v>251</v>
      </c>
      <c r="E20" s="135">
        <f>[9]!S_(E7,E13,E14)</f>
        <v>26.187127172047894</v>
      </c>
      <c r="F20" s="91" t="s">
        <v>251</v>
      </c>
      <c r="G20" s="92"/>
      <c r="H20" s="92"/>
      <c r="I20" s="92"/>
      <c r="J20" s="92"/>
      <c r="K20" s="92"/>
    </row>
    <row r="21" spans="2:17">
      <c r="B21" s="134" t="s">
        <v>245</v>
      </c>
      <c r="C21" s="864" t="e">
        <f ca="1">Hvap_(C7,C13,C14)</f>
        <v>#NAME?</v>
      </c>
      <c r="D21" s="91" t="s">
        <v>251</v>
      </c>
      <c r="E21" s="864" t="e">
        <f ca="1">Hvap_(E7,E13,E14)</f>
        <v>#NAME?</v>
      </c>
      <c r="F21" s="91" t="s">
        <v>251</v>
      </c>
      <c r="G21" s="92"/>
      <c r="H21" s="92"/>
      <c r="I21" s="92"/>
      <c r="J21" s="92"/>
      <c r="K21" s="92"/>
    </row>
    <row r="22" spans="2:17">
      <c r="B22" s="134" t="s">
        <v>245</v>
      </c>
      <c r="C22" s="864" t="e">
        <f ca="1">Hvap_(C7,C13,C14)</f>
        <v>#NAME?</v>
      </c>
      <c r="D22" s="91" t="s">
        <v>251</v>
      </c>
      <c r="E22" s="864" t="e">
        <f ca="1">Hvap_(E7,E13,E14)</f>
        <v>#NAME?</v>
      </c>
      <c r="F22" s="91" t="s">
        <v>251</v>
      </c>
      <c r="G22" s="92"/>
      <c r="H22" s="92"/>
      <c r="I22" s="92"/>
      <c r="J22" s="92"/>
      <c r="K22" s="92"/>
    </row>
    <row r="23" spans="2:17">
      <c r="B23" s="134" t="s">
        <v>249</v>
      </c>
      <c r="C23" s="135">
        <f>[9]!cp_(C7,C13,C14)</f>
        <v>5.1954637082022659</v>
      </c>
      <c r="D23" s="91" t="s">
        <v>251</v>
      </c>
      <c r="E23" s="135">
        <f>[9]!cp_(E7,E13,E14)</f>
        <v>5.1942637479056701</v>
      </c>
      <c r="F23" s="91" t="s">
        <v>251</v>
      </c>
      <c r="G23" s="92"/>
      <c r="H23" s="92"/>
      <c r="I23" s="92"/>
    </row>
    <row r="24" spans="2:17">
      <c r="B24" s="134" t="s">
        <v>250</v>
      </c>
      <c r="C24" s="135">
        <f>[9]!Cv_(C7,C13,C14)</f>
        <v>3.1170505507665198</v>
      </c>
      <c r="D24" s="91" t="s">
        <v>251</v>
      </c>
      <c r="E24" s="135">
        <f>[9]!Cv_(E7,E13,E14)</f>
        <v>3.1164446321913597</v>
      </c>
      <c r="F24" s="91" t="s">
        <v>251</v>
      </c>
      <c r="G24" s="92"/>
      <c r="H24" s="92"/>
      <c r="I24" s="92"/>
    </row>
    <row r="25" spans="2:17">
      <c r="B25" s="134" t="s">
        <v>807</v>
      </c>
      <c r="C25" s="854">
        <f>[9]!lambda_(C7,C13,C14)</f>
        <v>6.3518159642641236E-2</v>
      </c>
      <c r="D25" s="91" t="s">
        <v>808</v>
      </c>
      <c r="E25" s="854">
        <f>[9]!lambda_(E7,E13,E14)</f>
        <v>6.3476282486097796E-2</v>
      </c>
      <c r="F25" s="91" t="s">
        <v>808</v>
      </c>
      <c r="G25" s="92"/>
      <c r="H25" s="92"/>
      <c r="I25" s="92"/>
    </row>
    <row r="26" spans="2:17">
      <c r="B26" s="134" t="s">
        <v>271</v>
      </c>
      <c r="C26" s="135">
        <f>[9]!T_sat(C7,C13)</f>
        <v>4.2081365347309596</v>
      </c>
      <c r="D26" s="91" t="s">
        <v>96</v>
      </c>
      <c r="E26" s="135">
        <f>[9]!T_sat(E7,E13)</f>
        <v>3.550998875183927</v>
      </c>
      <c r="F26" s="91" t="s">
        <v>96</v>
      </c>
      <c r="G26" s="92"/>
      <c r="H26" s="92"/>
      <c r="I26" s="92"/>
    </row>
    <row r="27" spans="2:17">
      <c r="B27" s="134" t="s">
        <v>272</v>
      </c>
      <c r="C27" s="135">
        <f>[9]!P_sat(C7,C14)</f>
        <v>0</v>
      </c>
      <c r="D27" s="91" t="s">
        <v>84</v>
      </c>
      <c r="E27" s="135">
        <f>[9]!P_sat(E7,E14)</f>
        <v>0</v>
      </c>
      <c r="F27" s="91" t="s">
        <v>84</v>
      </c>
      <c r="G27" s="92"/>
      <c r="H27" s="92"/>
      <c r="I27" s="92"/>
    </row>
    <row r="28" spans="2:17">
      <c r="C28" s="91">
        <f>[9]!g_(C7,C13,C14)</f>
        <v>1.6667884025572313</v>
      </c>
      <c r="E28" s="91">
        <f>[9]!g_(E7,E13,E14)</f>
        <v>1.6667274285098628</v>
      </c>
      <c r="G28" s="92"/>
      <c r="H28" s="92"/>
      <c r="I28" s="92"/>
    </row>
    <row r="29" spans="2:17">
      <c r="C29" s="91">
        <f>C23/C24</f>
        <v>1.6667884025572315</v>
      </c>
      <c r="E29" s="91">
        <f>E23/E24</f>
        <v>1.6667274285098628</v>
      </c>
    </row>
    <row r="30" spans="2:17">
      <c r="B30" s="89" t="s">
        <v>325</v>
      </c>
      <c r="C30" s="89"/>
      <c r="D30" s="89"/>
      <c r="E30" s="89"/>
      <c r="F30" s="89"/>
      <c r="G30" s="89"/>
      <c r="H30" s="89"/>
      <c r="I30" s="89"/>
      <c r="K30" s="95" t="s">
        <v>903</v>
      </c>
      <c r="L30" s="95"/>
      <c r="M30" s="95"/>
      <c r="N30" s="95"/>
      <c r="O30" s="95"/>
      <c r="P30" s="95"/>
      <c r="Q30" s="95"/>
    </row>
    <row r="32" spans="2:17">
      <c r="K32" s="95"/>
      <c r="L32" s="95"/>
      <c r="M32" s="95"/>
      <c r="N32" s="95"/>
    </row>
    <row r="33" spans="8:16">
      <c r="K33" s="332" t="s">
        <v>240</v>
      </c>
      <c r="L33" s="332" t="s">
        <v>241</v>
      </c>
      <c r="M33" s="332" t="s">
        <v>529</v>
      </c>
      <c r="N33" s="332" t="s">
        <v>242</v>
      </c>
    </row>
    <row r="34" spans="8:16">
      <c r="H34" s="91" t="s">
        <v>316</v>
      </c>
      <c r="K34" s="92">
        <v>5</v>
      </c>
      <c r="L34" s="92">
        <v>300</v>
      </c>
      <c r="M34" s="1055">
        <v>40</v>
      </c>
      <c r="N34" s="1056">
        <f>[9]!Rho_(11,K34,L34)</f>
        <v>0.80052421827821918</v>
      </c>
      <c r="O34" s="1057">
        <f>N34*M34</f>
        <v>32.020968731128768</v>
      </c>
      <c r="P34" s="514"/>
    </row>
    <row r="35" spans="8:16">
      <c r="H35" s="91" t="s">
        <v>241</v>
      </c>
      <c r="K35" s="92">
        <v>1.2</v>
      </c>
      <c r="L35" s="92">
        <v>300</v>
      </c>
      <c r="M35" s="1055">
        <v>40</v>
      </c>
      <c r="N35" s="1056">
        <f>[9]!Rho_(11,K35,L35)</f>
        <v>0.19245916158711063</v>
      </c>
      <c r="O35" s="1057">
        <f>N35*M35</f>
        <v>7.6983664634844251</v>
      </c>
      <c r="P35" s="514"/>
    </row>
    <row r="36" spans="8:16">
      <c r="H36" s="91" t="s">
        <v>240</v>
      </c>
      <c r="P36" s="514"/>
    </row>
    <row r="37" spans="8:16">
      <c r="H37" s="91" t="s">
        <v>618</v>
      </c>
      <c r="N37" s="796" t="s">
        <v>902</v>
      </c>
      <c r="O37" s="1057">
        <f>O34-O35</f>
        <v>24.322602267644342</v>
      </c>
    </row>
    <row r="38" spans="8:16">
      <c r="O38" s="1058">
        <v>0.5</v>
      </c>
    </row>
    <row r="39" spans="8:16">
      <c r="O39" s="1059">
        <f>O37/O38</f>
        <v>48.645204535288684</v>
      </c>
    </row>
    <row r="40" spans="8:16">
      <c r="O40" s="1060">
        <f>O39/3.6</f>
        <v>13.512556815357968</v>
      </c>
    </row>
    <row r="68" spans="2:9">
      <c r="B68" s="89" t="s">
        <v>378</v>
      </c>
      <c r="C68" s="89"/>
      <c r="D68" s="89"/>
      <c r="E68" s="89"/>
      <c r="F68" s="89"/>
      <c r="G68" s="89"/>
      <c r="H68" s="89"/>
      <c r="I68" s="89"/>
    </row>
    <row r="72" spans="2:9">
      <c r="B72" s="133" t="s">
        <v>244</v>
      </c>
      <c r="C72" s="167" t="s">
        <v>5</v>
      </c>
      <c r="D72" s="92"/>
    </row>
    <row r="73" spans="2:9">
      <c r="B73" s="133" t="s">
        <v>243</v>
      </c>
      <c r="C73" s="88" t="e">
        <f>IF(C72&lt;&gt;"",VLOOKUP(C72,Fluides!$C$2:$H$38,6,FALSE),0)</f>
        <v>#N/A</v>
      </c>
      <c r="D73" s="92"/>
    </row>
    <row r="74" spans="2:9">
      <c r="B74" s="134" t="s">
        <v>240</v>
      </c>
      <c r="C74" s="167">
        <v>9.5</v>
      </c>
      <c r="D74" s="91" t="s">
        <v>84</v>
      </c>
    </row>
    <row r="75" spans="2:9">
      <c r="B75" s="134" t="s">
        <v>241</v>
      </c>
      <c r="C75" s="167">
        <v>300</v>
      </c>
      <c r="D75" s="91" t="s">
        <v>96</v>
      </c>
    </row>
    <row r="76" spans="2:9">
      <c r="B76" s="134" t="s">
        <v>370</v>
      </c>
      <c r="C76" s="135" t="e">
        <f>[9]!Rho_(C73,C74,C75)</f>
        <v>#VALUE!</v>
      </c>
      <c r="D76" s="91" t="s">
        <v>82</v>
      </c>
    </row>
    <row r="77" spans="2:9">
      <c r="B77" s="134" t="s">
        <v>371</v>
      </c>
      <c r="C77" s="92">
        <v>12000</v>
      </c>
    </row>
    <row r="78" spans="2:9">
      <c r="B78" s="134" t="s">
        <v>372</v>
      </c>
      <c r="C78" s="92" t="e">
        <f>(C77/C76)^(1/2)</f>
        <v>#VALUE!</v>
      </c>
      <c r="D78" s="91" t="s">
        <v>113</v>
      </c>
    </row>
    <row r="80" spans="2:9">
      <c r="B80" s="91" t="s">
        <v>373</v>
      </c>
    </row>
    <row r="82" spans="2:4">
      <c r="B82" s="134" t="s">
        <v>372</v>
      </c>
      <c r="C82" s="92">
        <v>20</v>
      </c>
    </row>
    <row r="83" spans="2:4">
      <c r="B83" s="134" t="s">
        <v>370</v>
      </c>
      <c r="C83" s="135" t="str">
        <f>[9]!Rho_(C80,C81,#REF!)</f>
        <v/>
      </c>
      <c r="D83" s="91" t="s">
        <v>82</v>
      </c>
    </row>
    <row r="84" spans="2:4">
      <c r="B84" s="134" t="s">
        <v>374</v>
      </c>
      <c r="C84" s="92">
        <v>283</v>
      </c>
      <c r="D84" s="91" t="s">
        <v>375</v>
      </c>
    </row>
    <row r="86" spans="2:4">
      <c r="B86" s="134" t="s">
        <v>376</v>
      </c>
      <c r="C86" s="92">
        <f>((4*C84)/(3600*C82*PI()))^(1/2)*1000</f>
        <v>70.742764761576993</v>
      </c>
      <c r="D86" s="91" t="s">
        <v>377</v>
      </c>
    </row>
  </sheetData>
  <protectedRanges>
    <protectedRange sqref="B12:C12 C8:C9 E12 E8:E9" name="Process"/>
  </protectedRanges>
  <phoneticPr fontId="12" type="noConversion"/>
  <dataValidations count="2">
    <dataValidation type="list" allowBlank="1" showInputMessage="1" showErrorMessage="1" sqref="C6 C72 E6">
      <formula1>GP_fluides</formula1>
    </dataValidation>
    <dataValidation type="list" allowBlank="1" showInputMessage="1" showErrorMessage="1" sqref="B12">
      <formula1>$B$8:$B$10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29"/>
  <dimension ref="A4:K21"/>
  <sheetViews>
    <sheetView workbookViewId="0">
      <selection activeCell="I28" sqref="I28"/>
    </sheetView>
  </sheetViews>
  <sheetFormatPr defaultColWidth="11.42578125" defaultRowHeight="12.75"/>
  <cols>
    <col min="1" max="1" width="11.42578125" style="91" customWidth="1"/>
    <col min="2" max="2" width="10.7109375" style="91" bestFit="1" customWidth="1"/>
    <col min="3" max="3" width="15.5703125" style="91" customWidth="1"/>
    <col min="4" max="4" width="12.5703125" style="91" bestFit="1" customWidth="1"/>
    <col min="5" max="5" width="12.42578125" style="91" bestFit="1" customWidth="1"/>
    <col min="6" max="6" width="16.85546875" style="91" customWidth="1"/>
    <col min="7" max="16384" width="11.42578125" style="91"/>
  </cols>
  <sheetData>
    <row r="4" spans="1:11" s="88" customFormat="1">
      <c r="B4" s="89" t="s">
        <v>819</v>
      </c>
      <c r="C4" s="89"/>
      <c r="D4" s="89"/>
      <c r="E4" s="89"/>
      <c r="F4" s="89"/>
      <c r="G4" s="89"/>
      <c r="H4" s="89"/>
      <c r="I4" s="89"/>
    </row>
    <row r="5" spans="1:11" s="92" customFormat="1"/>
    <row r="6" spans="1:11" s="92" customFormat="1">
      <c r="B6" s="91"/>
      <c r="C6" s="91"/>
      <c r="D6" s="91"/>
    </row>
    <row r="7" spans="1:11" s="92" customFormat="1">
      <c r="B7" s="329" t="s">
        <v>810</v>
      </c>
      <c r="C7" s="330"/>
      <c r="D7" s="330"/>
    </row>
    <row r="8" spans="1:11" s="92" customFormat="1">
      <c r="A8" s="472"/>
      <c r="B8" s="91" t="s">
        <v>817</v>
      </c>
      <c r="C8" s="91"/>
      <c r="D8" s="856">
        <v>122</v>
      </c>
      <c r="E8" s="472"/>
    </row>
    <row r="9" spans="1:11" s="92" customFormat="1">
      <c r="A9" s="472"/>
      <c r="B9" s="91" t="s">
        <v>818</v>
      </c>
      <c r="C9" s="91"/>
      <c r="D9" s="869">
        <v>0.16700000000000001</v>
      </c>
      <c r="E9" s="472"/>
    </row>
    <row r="10" spans="1:11" s="92" customFormat="1">
      <c r="A10" s="472"/>
      <c r="B10" s="91" t="s">
        <v>811</v>
      </c>
      <c r="C10" s="91"/>
      <c r="D10" s="861">
        <f>(D8/1000)/D9</f>
        <v>0.73053892215568861</v>
      </c>
      <c r="E10" s="472"/>
    </row>
    <row r="11" spans="1:11" s="92" customFormat="1">
      <c r="A11" s="472"/>
      <c r="E11" s="472"/>
    </row>
    <row r="12" spans="1:11" s="92" customFormat="1">
      <c r="A12" s="472"/>
      <c r="E12" s="472"/>
    </row>
    <row r="13" spans="1:11">
      <c r="B13" s="91" t="s">
        <v>374</v>
      </c>
      <c r="D13" s="865">
        <v>50</v>
      </c>
      <c r="E13" s="870">
        <f>D13/1000*D8/3.6</f>
        <v>1.6944444444444446</v>
      </c>
      <c r="J13" s="92"/>
    </row>
    <row r="14" spans="1:11">
      <c r="B14" s="91" t="s">
        <v>812</v>
      </c>
      <c r="D14" s="858">
        <v>5</v>
      </c>
      <c r="E14" s="870">
        <f>D14*E13</f>
        <v>8.4722222222222232</v>
      </c>
      <c r="J14" s="92"/>
    </row>
    <row r="15" spans="1:11">
      <c r="B15" s="859" t="s">
        <v>813</v>
      </c>
      <c r="D15" s="858">
        <v>1.5</v>
      </c>
      <c r="E15" s="870">
        <f>E13*D15</f>
        <v>2.541666666666667</v>
      </c>
      <c r="I15" s="92"/>
      <c r="J15" s="92"/>
      <c r="K15" s="92"/>
    </row>
    <row r="16" spans="1:11">
      <c r="B16" s="849"/>
      <c r="C16" s="472"/>
      <c r="D16" s="92"/>
      <c r="I16" s="92"/>
      <c r="J16" s="92"/>
      <c r="K16" s="92"/>
    </row>
    <row r="17" spans="2:11">
      <c r="B17" s="94" t="s">
        <v>815</v>
      </c>
      <c r="C17" s="94"/>
      <c r="D17" s="866">
        <f>D10*D13</f>
        <v>36.526946107784433</v>
      </c>
      <c r="J17" s="92"/>
      <c r="K17" s="92"/>
    </row>
    <row r="18" spans="2:11" ht="13.5" thickBot="1">
      <c r="B18" s="860" t="s">
        <v>814</v>
      </c>
      <c r="C18" s="231"/>
      <c r="D18" s="867">
        <f>D15*D17/D14</f>
        <v>10.95808383233533</v>
      </c>
      <c r="J18" s="92"/>
      <c r="K18" s="92"/>
    </row>
    <row r="19" spans="2:11">
      <c r="B19" s="849" t="s">
        <v>816</v>
      </c>
      <c r="D19" s="868">
        <f>D18+D17</f>
        <v>47.485029940119759</v>
      </c>
      <c r="J19" s="92"/>
      <c r="K19" s="92"/>
    </row>
    <row r="20" spans="2:11">
      <c r="D20" s="870">
        <f>D19*D9/3.6</f>
        <v>2.2027777777777779</v>
      </c>
      <c r="E20" s="870">
        <f>(E13*D14+E13*D15)/D14</f>
        <v>2.2027777777777779</v>
      </c>
      <c r="J20" s="92"/>
      <c r="K20" s="92"/>
    </row>
    <row r="21" spans="2:11">
      <c r="J21" s="92"/>
      <c r="K21" s="92"/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25"/>
  <dimension ref="A1:AG136"/>
  <sheetViews>
    <sheetView topLeftCell="A4" zoomScale="85" zoomScaleNormal="100" zoomScaleSheetLayoutView="100" workbookViewId="0">
      <selection activeCell="F40" sqref="F40"/>
    </sheetView>
  </sheetViews>
  <sheetFormatPr defaultColWidth="11.42578125" defaultRowHeight="12.75"/>
  <cols>
    <col min="1" max="1" width="1.85546875" style="91" customWidth="1"/>
    <col min="2" max="2" width="3" style="91" customWidth="1"/>
    <col min="3" max="4" width="4" style="91" customWidth="1"/>
    <col min="5" max="5" width="6" style="91" bestFit="1" customWidth="1"/>
    <col min="6" max="6" width="4" style="91" customWidth="1"/>
    <col min="7" max="7" width="6" style="91" bestFit="1" customWidth="1"/>
    <col min="8" max="8" width="9.5703125" style="91" bestFit="1" customWidth="1"/>
    <col min="9" max="9" width="8.42578125" style="91" customWidth="1"/>
    <col min="10" max="10" width="9.42578125" style="91" customWidth="1"/>
    <col min="11" max="11" width="13.42578125" style="91" customWidth="1"/>
    <col min="12" max="12" width="12.28515625" style="91" bestFit="1" customWidth="1"/>
    <col min="13" max="13" width="18" style="91" bestFit="1" customWidth="1"/>
    <col min="14" max="14" width="6.85546875" style="91" customWidth="1"/>
    <col min="15" max="15" width="10.140625" style="91" customWidth="1"/>
    <col min="16" max="16" width="8.7109375" style="91" customWidth="1"/>
    <col min="17" max="17" width="3.28515625" style="91" bestFit="1" customWidth="1"/>
    <col min="18" max="18" width="9.5703125" style="91" bestFit="1" customWidth="1"/>
    <col min="19" max="19" width="13.28515625" style="91" customWidth="1"/>
    <col min="20" max="20" width="9.140625" style="91" bestFit="1" customWidth="1"/>
    <col min="21" max="21" width="8" style="91" bestFit="1" customWidth="1"/>
    <col min="22" max="22" width="3.42578125" style="91" customWidth="1"/>
    <col min="23" max="27" width="3.28515625" style="91" customWidth="1"/>
    <col min="28" max="28" width="1.85546875" style="91" customWidth="1"/>
    <col min="29" max="33" width="3.85546875" style="91" customWidth="1"/>
    <col min="34" max="16384" width="11.42578125" style="91"/>
  </cols>
  <sheetData>
    <row r="1" spans="1:33" ht="8.25" customHeight="1" thickBot="1"/>
    <row r="2" spans="1:33" ht="18" customHeight="1">
      <c r="A2" s="94"/>
      <c r="B2" s="516"/>
      <c r="C2" s="401"/>
      <c r="D2" s="401"/>
      <c r="E2" s="401"/>
      <c r="F2" s="401"/>
      <c r="G2" s="401"/>
      <c r="H2" s="705"/>
      <c r="I2" s="401"/>
      <c r="J2" s="706" t="s">
        <v>634</v>
      </c>
      <c r="K2" s="707"/>
      <c r="L2" s="707"/>
      <c r="M2" s="708" t="s">
        <v>748</v>
      </c>
      <c r="N2" s="707"/>
      <c r="O2" s="707"/>
      <c r="P2" s="401"/>
      <c r="Q2" s="401"/>
      <c r="R2" s="401"/>
      <c r="S2" s="401"/>
      <c r="T2" s="401"/>
      <c r="U2" s="401"/>
      <c r="V2" s="705"/>
      <c r="W2" s="401"/>
      <c r="X2" s="401"/>
      <c r="Y2" s="443" t="s">
        <v>635</v>
      </c>
      <c r="Z2" s="401"/>
      <c r="AA2" s="517"/>
      <c r="AC2" s="94"/>
      <c r="AD2" s="94"/>
      <c r="AE2" s="94"/>
      <c r="AF2" s="94"/>
      <c r="AG2" s="94"/>
    </row>
    <row r="3" spans="1:33">
      <c r="A3" s="94"/>
      <c r="B3" s="709"/>
      <c r="C3" s="710"/>
      <c r="D3" s="710"/>
      <c r="E3" s="710"/>
      <c r="F3" s="710"/>
      <c r="G3" s="710"/>
      <c r="H3" s="711"/>
      <c r="I3" s="710"/>
      <c r="J3" s="712" t="s">
        <v>636</v>
      </c>
      <c r="K3" s="710"/>
      <c r="L3" s="710"/>
      <c r="M3" s="713" t="s">
        <v>749</v>
      </c>
      <c r="N3" s="710"/>
      <c r="O3" s="710"/>
      <c r="P3" s="94"/>
      <c r="Q3" s="94"/>
      <c r="R3" s="94"/>
      <c r="S3" s="94"/>
      <c r="T3" s="94"/>
      <c r="U3" s="94"/>
      <c r="V3" s="714"/>
      <c r="W3" s="94"/>
      <c r="X3" s="94"/>
      <c r="Y3" s="472" t="s">
        <v>750</v>
      </c>
      <c r="Z3" s="94"/>
      <c r="AA3" s="345"/>
      <c r="AC3" s="94"/>
      <c r="AD3" s="94"/>
      <c r="AE3" s="94"/>
      <c r="AF3" s="94"/>
      <c r="AG3" s="94"/>
    </row>
    <row r="4" spans="1:33">
      <c r="A4" s="94"/>
      <c r="B4" s="715"/>
      <c r="C4" s="716"/>
      <c r="D4" s="716"/>
      <c r="E4" s="716"/>
      <c r="F4" s="716"/>
      <c r="G4" s="716"/>
      <c r="H4" s="717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8"/>
      <c r="V4" s="719"/>
      <c r="W4" s="720"/>
      <c r="X4" s="721"/>
      <c r="Y4" s="721"/>
      <c r="Z4" s="721"/>
      <c r="AA4" s="722"/>
      <c r="AC4" s="723"/>
      <c r="AD4" s="723"/>
      <c r="AE4" s="723"/>
      <c r="AF4" s="723"/>
      <c r="AG4" s="723"/>
    </row>
    <row r="5" spans="1:33">
      <c r="A5" s="94"/>
      <c r="B5" s="709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24"/>
      <c r="V5" s="714"/>
      <c r="W5" s="725"/>
      <c r="X5" s="725"/>
      <c r="Y5" s="726" t="s">
        <v>640</v>
      </c>
      <c r="Z5" s="725"/>
      <c r="AA5" s="345"/>
      <c r="AC5" s="723"/>
      <c r="AD5" s="723"/>
      <c r="AE5" s="723"/>
      <c r="AF5" s="723"/>
      <c r="AG5" s="723"/>
    </row>
    <row r="6" spans="1:33">
      <c r="A6" s="94"/>
      <c r="B6" s="709"/>
      <c r="C6" s="710"/>
      <c r="D6" s="710"/>
      <c r="E6" s="710"/>
      <c r="F6" s="94"/>
      <c r="G6" s="710"/>
      <c r="H6" s="94"/>
      <c r="I6" s="710"/>
      <c r="J6" s="94"/>
      <c r="K6" s="727" t="s">
        <v>751</v>
      </c>
      <c r="L6" s="710"/>
      <c r="M6" s="710"/>
      <c r="N6" s="710"/>
      <c r="O6" s="94"/>
      <c r="P6" s="94"/>
      <c r="Q6" s="94"/>
      <c r="R6" s="94"/>
      <c r="S6" s="94"/>
      <c r="T6" s="94"/>
      <c r="U6" s="94"/>
      <c r="V6" s="714"/>
      <c r="W6" s="728"/>
      <c r="X6" s="728"/>
      <c r="Y6" s="472" t="s">
        <v>752</v>
      </c>
      <c r="Z6" s="728"/>
      <c r="AA6" s="345"/>
    </row>
    <row r="7" spans="1:33" ht="12.75" customHeight="1">
      <c r="A7" s="94"/>
      <c r="B7" s="729"/>
      <c r="C7" s="730"/>
      <c r="D7" s="730"/>
      <c r="E7" s="730"/>
      <c r="F7" s="730"/>
      <c r="G7" s="730"/>
      <c r="H7" s="730"/>
      <c r="I7" s="730"/>
      <c r="J7" s="731"/>
      <c r="K7" s="730"/>
      <c r="L7" s="731"/>
      <c r="M7" s="730"/>
      <c r="N7" s="730"/>
      <c r="O7" s="730"/>
      <c r="P7" s="730"/>
      <c r="Q7" s="730"/>
      <c r="R7" s="730"/>
      <c r="S7" s="730"/>
      <c r="T7" s="731"/>
      <c r="U7" s="732"/>
      <c r="V7" s="733"/>
      <c r="W7" s="732"/>
      <c r="X7" s="732"/>
      <c r="Y7" s="732"/>
      <c r="Z7" s="732"/>
      <c r="AA7" s="734"/>
      <c r="AB7" s="735"/>
      <c r="AC7" s="735"/>
      <c r="AD7" s="735"/>
      <c r="AE7" s="735"/>
      <c r="AF7" s="735"/>
      <c r="AG7" s="735"/>
    </row>
    <row r="8" spans="1:33" ht="13.5" thickBot="1">
      <c r="A8" s="94"/>
      <c r="B8" s="736"/>
      <c r="C8" s="737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737"/>
      <c r="Q8" s="737"/>
      <c r="R8" s="737"/>
      <c r="S8" s="737"/>
      <c r="T8" s="738"/>
      <c r="U8" s="738"/>
      <c r="V8" s="739"/>
      <c r="W8" s="738"/>
      <c r="X8" s="738"/>
      <c r="Y8" s="738"/>
      <c r="Z8" s="738"/>
      <c r="AA8" s="740"/>
      <c r="AB8" s="735"/>
      <c r="AC8" s="735"/>
      <c r="AD8" s="735"/>
      <c r="AE8" s="735"/>
      <c r="AF8" s="735"/>
      <c r="AG8" s="735"/>
    </row>
    <row r="9" spans="1:33">
      <c r="A9" s="94"/>
      <c r="B9" s="741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444"/>
      <c r="V9" s="742"/>
      <c r="W9" s="742"/>
      <c r="X9" s="742"/>
      <c r="Y9" s="742" t="s">
        <v>642</v>
      </c>
      <c r="Z9" s="742"/>
      <c r="AA9" s="743"/>
      <c r="AB9" s="724"/>
      <c r="AC9" s="724"/>
      <c r="AD9" s="724"/>
      <c r="AE9" s="724"/>
      <c r="AF9" s="724"/>
      <c r="AG9" s="724"/>
    </row>
    <row r="10" spans="1:33">
      <c r="A10" s="94"/>
      <c r="B10" s="709"/>
      <c r="C10" s="724"/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449"/>
      <c r="V10" s="724"/>
      <c r="W10" s="724"/>
      <c r="X10" s="724"/>
      <c r="Y10" s="724"/>
      <c r="Z10" s="724"/>
      <c r="AA10" s="744"/>
      <c r="AB10" s="724"/>
      <c r="AC10" s="724"/>
      <c r="AD10" s="724"/>
      <c r="AE10" s="724"/>
      <c r="AF10" s="724"/>
      <c r="AG10" s="724"/>
    </row>
    <row r="11" spans="1:33" ht="15.75">
      <c r="A11" s="94"/>
      <c r="B11" s="709"/>
      <c r="C11" s="724"/>
      <c r="D11" s="745" t="s">
        <v>753</v>
      </c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7"/>
      <c r="U11" s="747"/>
      <c r="V11" s="748"/>
      <c r="W11" s="724"/>
      <c r="X11" s="724"/>
      <c r="Y11" s="724"/>
      <c r="Z11" s="724"/>
      <c r="AA11" s="744"/>
      <c r="AB11" s="724"/>
      <c r="AC11" s="724"/>
      <c r="AD11" s="724"/>
      <c r="AE11" s="724"/>
      <c r="AF11" s="724"/>
      <c r="AG11" s="724"/>
    </row>
    <row r="12" spans="1:33" ht="15.75">
      <c r="A12" s="94"/>
      <c r="B12" s="709"/>
      <c r="C12" s="724"/>
      <c r="D12" s="749"/>
      <c r="E12" s="750"/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750"/>
      <c r="Q12" s="750"/>
      <c r="R12" s="750"/>
      <c r="S12" s="750"/>
      <c r="T12" s="751"/>
      <c r="U12" s="751"/>
      <c r="V12" s="94"/>
      <c r="W12" s="724"/>
      <c r="X12" s="724"/>
      <c r="Y12" s="724"/>
      <c r="Z12" s="724"/>
      <c r="AA12" s="744"/>
      <c r="AB12" s="724"/>
      <c r="AC12" s="724"/>
      <c r="AD12" s="724"/>
      <c r="AE12" s="724"/>
      <c r="AF12" s="724"/>
      <c r="AG12" s="724"/>
    </row>
    <row r="13" spans="1:33" ht="15">
      <c r="A13" s="94"/>
      <c r="B13" s="709"/>
      <c r="C13" s="724"/>
      <c r="D13" s="752" t="s">
        <v>754</v>
      </c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1"/>
      <c r="U13" s="751"/>
      <c r="V13" s="94"/>
      <c r="W13" s="724"/>
      <c r="X13" s="724"/>
      <c r="Y13" s="724"/>
      <c r="Z13" s="724"/>
      <c r="AA13" s="744"/>
      <c r="AB13" s="724"/>
      <c r="AC13" s="724"/>
      <c r="AD13" s="724"/>
      <c r="AE13" s="724"/>
      <c r="AF13" s="724"/>
      <c r="AG13" s="724"/>
    </row>
    <row r="14" spans="1:33" ht="15">
      <c r="A14" s="94"/>
      <c r="B14" s="709"/>
      <c r="C14" s="724"/>
      <c r="D14" s="752" t="s">
        <v>755</v>
      </c>
      <c r="E14" s="753"/>
      <c r="F14" s="753"/>
      <c r="G14" s="753"/>
      <c r="H14" s="753"/>
      <c r="I14" s="753"/>
      <c r="J14" s="753"/>
      <c r="K14" s="753"/>
      <c r="L14" s="753"/>
      <c r="M14" s="753"/>
      <c r="N14" s="753"/>
      <c r="O14" s="753"/>
      <c r="P14" s="753"/>
      <c r="Q14" s="753"/>
      <c r="R14" s="753"/>
      <c r="S14" s="753"/>
      <c r="T14" s="751"/>
      <c r="U14" s="751"/>
      <c r="V14" s="94"/>
      <c r="W14" s="724"/>
      <c r="X14" s="724"/>
      <c r="Y14" s="724"/>
      <c r="Z14" s="724"/>
      <c r="AA14" s="744"/>
      <c r="AB14" s="724"/>
      <c r="AC14" s="724"/>
      <c r="AD14" s="724"/>
      <c r="AE14" s="724"/>
      <c r="AF14" s="724"/>
      <c r="AG14" s="724"/>
    </row>
    <row r="15" spans="1:33" ht="15.75">
      <c r="A15" s="94"/>
      <c r="B15" s="709"/>
      <c r="C15" s="724"/>
      <c r="D15" s="749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1"/>
      <c r="U15" s="751"/>
      <c r="V15" s="94"/>
      <c r="W15" s="724"/>
      <c r="X15" s="724"/>
      <c r="Y15" s="724"/>
      <c r="Z15" s="724"/>
      <c r="AA15" s="744"/>
      <c r="AB15" s="724"/>
      <c r="AC15" s="724"/>
      <c r="AD15" s="724"/>
      <c r="AE15" s="724"/>
      <c r="AF15" s="724"/>
      <c r="AG15" s="724"/>
    </row>
    <row r="16" spans="1:33">
      <c r="B16" s="51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345"/>
    </row>
    <row r="17" spans="2:27">
      <c r="B17" s="51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345"/>
    </row>
    <row r="18" spans="2:27">
      <c r="B18" s="51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345"/>
    </row>
    <row r="19" spans="2:27">
      <c r="B19" s="51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345"/>
    </row>
    <row r="20" spans="2:27">
      <c r="B20" s="51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345"/>
    </row>
    <row r="21" spans="2:27">
      <c r="B21" s="51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345"/>
    </row>
    <row r="22" spans="2:27">
      <c r="B22" s="51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345"/>
    </row>
    <row r="23" spans="2:27">
      <c r="B23" s="51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345"/>
    </row>
    <row r="24" spans="2:27">
      <c r="B24" s="51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345"/>
    </row>
    <row r="25" spans="2:27">
      <c r="B25" s="51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345"/>
    </row>
    <row r="26" spans="2:27">
      <c r="B26" s="51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345"/>
    </row>
    <row r="27" spans="2:27">
      <c r="B27" s="51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345"/>
    </row>
    <row r="28" spans="2:27">
      <c r="B28" s="51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345"/>
    </row>
    <row r="29" spans="2:27">
      <c r="B29" s="51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345"/>
    </row>
    <row r="30" spans="2:27">
      <c r="B30" s="518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345"/>
    </row>
    <row r="31" spans="2:27">
      <c r="B31" s="518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345"/>
    </row>
    <row r="32" spans="2:27">
      <c r="B32" s="518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345"/>
    </row>
    <row r="33" spans="2:27">
      <c r="B33" s="518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345"/>
    </row>
    <row r="34" spans="2:27">
      <c r="B34" s="518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345"/>
    </row>
    <row r="35" spans="2:27">
      <c r="B35" s="518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345"/>
    </row>
    <row r="36" spans="2:27">
      <c r="B36" s="51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345"/>
    </row>
    <row r="37" spans="2:27">
      <c r="B37" s="518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345"/>
    </row>
    <row r="38" spans="2:27">
      <c r="B38" s="518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345"/>
    </row>
    <row r="39" spans="2:27">
      <c r="B39" s="518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345"/>
    </row>
    <row r="40" spans="2:27">
      <c r="B40" s="518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345"/>
    </row>
    <row r="41" spans="2:27">
      <c r="B41" s="518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345"/>
    </row>
    <row r="42" spans="2:27">
      <c r="B42" s="518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345"/>
    </row>
    <row r="43" spans="2:27">
      <c r="B43" s="518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345"/>
    </row>
    <row r="44" spans="2:27">
      <c r="B44" s="518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345"/>
    </row>
    <row r="45" spans="2:27">
      <c r="B45" s="518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345"/>
    </row>
    <row r="46" spans="2:27">
      <c r="B46" s="518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345"/>
    </row>
    <row r="47" spans="2:27" ht="15.75">
      <c r="B47" s="518"/>
      <c r="C47" s="94"/>
      <c r="D47" s="745" t="s">
        <v>753</v>
      </c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46"/>
      <c r="P47" s="746"/>
      <c r="Q47" s="746"/>
      <c r="R47" s="746"/>
      <c r="S47" s="746"/>
      <c r="T47" s="747"/>
      <c r="U47" s="747"/>
      <c r="V47" s="748"/>
      <c r="W47" s="94"/>
      <c r="X47" s="94"/>
      <c r="Y47" s="94"/>
      <c r="Z47" s="94"/>
      <c r="AA47" s="345"/>
    </row>
    <row r="48" spans="2:27">
      <c r="B48" s="518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345"/>
    </row>
    <row r="49" spans="2:27">
      <c r="B49" s="518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345"/>
    </row>
    <row r="50" spans="2:27">
      <c r="B50" s="518"/>
      <c r="C50" s="94"/>
      <c r="D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345"/>
    </row>
    <row r="51" spans="2:27" ht="13.5" thickBot="1">
      <c r="B51" s="518"/>
      <c r="C51" s="94"/>
      <c r="D51" s="94"/>
      <c r="G51" s="94"/>
      <c r="H51" s="232" t="s">
        <v>760</v>
      </c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94"/>
      <c r="V51" s="94"/>
      <c r="W51" s="94"/>
      <c r="X51" s="94"/>
      <c r="Y51" s="94"/>
      <c r="Z51" s="94"/>
      <c r="AA51" s="345"/>
    </row>
    <row r="52" spans="2:27">
      <c r="B52" s="518"/>
      <c r="C52" s="94"/>
      <c r="D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345"/>
    </row>
    <row r="53" spans="2:27">
      <c r="B53" s="518"/>
      <c r="C53" s="94"/>
      <c r="D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345"/>
    </row>
    <row r="54" spans="2:27">
      <c r="B54" s="518"/>
      <c r="C54" s="94"/>
      <c r="D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345"/>
    </row>
    <row r="55" spans="2:27">
      <c r="B55" s="518"/>
      <c r="C55" s="94"/>
      <c r="D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345"/>
    </row>
    <row r="56" spans="2:27">
      <c r="B56" s="518"/>
      <c r="C56" s="94"/>
      <c r="D56" s="94"/>
      <c r="G56" s="94"/>
      <c r="I56" s="796" t="s">
        <v>241</v>
      </c>
      <c r="J56" s="787">
        <v>314</v>
      </c>
      <c r="K56" s="788">
        <f>J56-273.15</f>
        <v>40.850000000000023</v>
      </c>
      <c r="Q56" s="796" t="s">
        <v>241</v>
      </c>
      <c r="R56" s="787">
        <v>294.5</v>
      </c>
      <c r="S56" s="788">
        <f>R56-273.15</f>
        <v>21.350000000000023</v>
      </c>
      <c r="T56" s="94"/>
      <c r="U56" s="94"/>
      <c r="V56" s="94"/>
      <c r="W56" s="94"/>
      <c r="X56" s="94"/>
      <c r="Y56" s="94"/>
      <c r="Z56" s="94"/>
      <c r="AA56" s="345"/>
    </row>
    <row r="57" spans="2:27">
      <c r="B57" s="518"/>
      <c r="C57" s="94"/>
      <c r="D57" s="333"/>
      <c r="G57" s="94"/>
      <c r="H57" s="333"/>
      <c r="I57" s="796" t="s">
        <v>240</v>
      </c>
      <c r="J57" s="789">
        <v>10.5</v>
      </c>
      <c r="Q57" s="796" t="s">
        <v>240</v>
      </c>
      <c r="R57" s="789">
        <v>10.5</v>
      </c>
      <c r="T57" s="94"/>
      <c r="U57" s="94"/>
      <c r="V57" s="94"/>
      <c r="W57" s="94"/>
      <c r="X57" s="94"/>
      <c r="Y57" s="94"/>
      <c r="Z57" s="94"/>
      <c r="AA57" s="345"/>
    </row>
    <row r="58" spans="2:27">
      <c r="B58" s="518"/>
      <c r="C58" s="94"/>
      <c r="G58" s="94"/>
      <c r="I58" s="796" t="s">
        <v>759</v>
      </c>
      <c r="J58" s="790">
        <v>54</v>
      </c>
      <c r="K58" s="797" t="e">
        <f ca="1">J58/Rho(11,J57,J56)*60</f>
        <v>#NAME?</v>
      </c>
      <c r="Q58" s="796" t="s">
        <v>759</v>
      </c>
      <c r="R58" s="790">
        <v>54</v>
      </c>
      <c r="S58" s="791" t="e">
        <f ca="1">R58/Rho(11,R57,R56)*60</f>
        <v>#NAME?</v>
      </c>
      <c r="T58" s="94"/>
      <c r="U58" s="94"/>
      <c r="V58" s="94"/>
      <c r="W58" s="94"/>
      <c r="X58" s="94"/>
      <c r="Y58" s="94"/>
      <c r="Z58" s="94"/>
      <c r="AA58" s="345"/>
    </row>
    <row r="59" spans="2:27">
      <c r="B59" s="518"/>
      <c r="C59" s="94"/>
      <c r="G59" s="94"/>
      <c r="I59" s="796" t="s">
        <v>146</v>
      </c>
      <c r="J59" s="792">
        <f>[9]!cp_(11,J57,J56)</f>
        <v>5.1922274539723974</v>
      </c>
      <c r="Q59" s="796" t="s">
        <v>146</v>
      </c>
      <c r="R59" s="792">
        <f>[9]!cp_(11,R57,R56)</f>
        <v>5.192302080037134</v>
      </c>
      <c r="T59" s="94"/>
      <c r="U59" s="94"/>
      <c r="V59" s="94"/>
      <c r="W59" s="94"/>
      <c r="X59" s="94"/>
      <c r="Y59" s="94"/>
      <c r="Z59" s="94"/>
      <c r="AA59" s="345"/>
    </row>
    <row r="60" spans="2:27">
      <c r="B60" s="518"/>
      <c r="C60" s="94"/>
      <c r="G60" s="94"/>
      <c r="I60" s="92"/>
      <c r="J60" s="792"/>
      <c r="T60" s="94"/>
      <c r="U60" s="94"/>
      <c r="V60" s="94"/>
      <c r="W60" s="94"/>
      <c r="X60" s="94"/>
      <c r="Y60" s="94"/>
      <c r="Z60" s="94"/>
      <c r="AA60" s="345"/>
    </row>
    <row r="61" spans="2:27">
      <c r="B61" s="518"/>
      <c r="C61" s="94"/>
      <c r="G61" s="94"/>
      <c r="I61" s="92"/>
      <c r="Q61" s="92"/>
      <c r="T61" s="94"/>
      <c r="U61" s="94"/>
      <c r="V61" s="94"/>
      <c r="W61" s="94"/>
      <c r="X61" s="94"/>
      <c r="Y61" s="94"/>
      <c r="Z61" s="94"/>
      <c r="AA61" s="345"/>
    </row>
    <row r="62" spans="2:27">
      <c r="B62" s="518"/>
      <c r="C62" s="94"/>
      <c r="G62" s="94"/>
      <c r="I62" s="796"/>
      <c r="J62" s="787"/>
      <c r="K62" s="788"/>
      <c r="Q62" s="96"/>
      <c r="R62" s="787"/>
      <c r="S62" s="788"/>
      <c r="T62" s="94"/>
      <c r="U62" s="94"/>
      <c r="V62" s="94"/>
      <c r="W62" s="94"/>
      <c r="X62" s="94"/>
      <c r="Y62" s="94"/>
      <c r="Z62" s="94"/>
      <c r="AA62" s="345"/>
    </row>
    <row r="63" spans="2:27">
      <c r="B63" s="518"/>
      <c r="C63" s="94"/>
      <c r="D63" s="333"/>
      <c r="G63" s="94"/>
      <c r="H63" s="333"/>
      <c r="I63" s="796"/>
      <c r="J63" s="789"/>
      <c r="Q63" s="96"/>
      <c r="R63" s="789"/>
      <c r="T63" s="94"/>
      <c r="U63" s="94"/>
      <c r="V63" s="94"/>
      <c r="W63" s="94"/>
      <c r="X63" s="94"/>
      <c r="Y63" s="94"/>
      <c r="Z63" s="94"/>
      <c r="AA63" s="345"/>
    </row>
    <row r="64" spans="2:27">
      <c r="B64" s="518"/>
      <c r="C64" s="94"/>
      <c r="G64" s="94"/>
      <c r="I64" s="796"/>
      <c r="J64" s="790"/>
      <c r="K64" s="791"/>
      <c r="Q64" s="96"/>
      <c r="R64" s="790"/>
      <c r="S64" s="791"/>
      <c r="T64" s="94"/>
      <c r="U64" s="94"/>
      <c r="V64" s="94"/>
      <c r="W64" s="94"/>
      <c r="X64" s="94"/>
      <c r="Y64" s="94"/>
      <c r="Z64" s="94"/>
      <c r="AA64" s="345"/>
    </row>
    <row r="65" spans="2:27">
      <c r="B65" s="518"/>
      <c r="C65" s="94"/>
      <c r="D65" s="94"/>
      <c r="G65" s="94"/>
      <c r="I65" s="796"/>
      <c r="J65" s="792"/>
      <c r="Q65" s="96"/>
      <c r="R65" s="792"/>
      <c r="T65" s="94"/>
      <c r="U65" s="94"/>
      <c r="V65" s="94"/>
      <c r="W65" s="94"/>
      <c r="X65" s="94"/>
      <c r="Y65" s="94"/>
      <c r="Z65" s="94"/>
      <c r="AA65" s="345"/>
    </row>
    <row r="66" spans="2:27">
      <c r="B66" s="518"/>
      <c r="C66" s="94"/>
      <c r="D66" s="94"/>
      <c r="G66" s="94"/>
      <c r="I66" s="92"/>
      <c r="J66" s="792"/>
      <c r="Q66" s="795"/>
      <c r="T66" s="94"/>
      <c r="U66" s="94"/>
      <c r="V66" s="94"/>
      <c r="W66" s="94"/>
      <c r="X66" s="94"/>
      <c r="Y66" s="94"/>
      <c r="Z66" s="94"/>
      <c r="AA66" s="345"/>
    </row>
    <row r="67" spans="2:27">
      <c r="B67" s="518"/>
      <c r="C67" s="94"/>
      <c r="D67" s="94"/>
      <c r="G67" s="94"/>
      <c r="I67" s="92"/>
      <c r="J67" s="801" t="s">
        <v>761</v>
      </c>
      <c r="K67" s="94"/>
      <c r="L67" s="94"/>
      <c r="M67" s="94"/>
      <c r="N67" s="799"/>
      <c r="O67" s="800">
        <f>J58*J59*(ABS(R56-J56))</f>
        <v>5467.415509032935</v>
      </c>
      <c r="P67" s="243"/>
      <c r="Q67" s="472"/>
      <c r="R67" s="798"/>
      <c r="T67" s="94"/>
      <c r="U67" s="94"/>
      <c r="V67" s="94"/>
      <c r="W67" s="94"/>
      <c r="X67" s="94"/>
      <c r="Y67" s="94"/>
      <c r="Z67" s="94"/>
      <c r="AA67" s="345"/>
    </row>
    <row r="68" spans="2:27">
      <c r="B68" s="518"/>
      <c r="C68" s="94"/>
      <c r="D68" s="94"/>
      <c r="G68" s="94"/>
      <c r="I68" s="92"/>
      <c r="J68" s="792"/>
      <c r="O68" s="95"/>
      <c r="Q68" s="92"/>
      <c r="R68" s="792"/>
      <c r="T68" s="94"/>
      <c r="U68" s="94"/>
      <c r="V68" s="94"/>
      <c r="W68" s="94"/>
      <c r="X68" s="94"/>
      <c r="Y68" s="94"/>
      <c r="Z68" s="94"/>
      <c r="AA68" s="345"/>
    </row>
    <row r="69" spans="2:27">
      <c r="B69" s="518"/>
      <c r="C69" s="94"/>
      <c r="D69" s="94"/>
      <c r="G69" s="94"/>
      <c r="I69" s="92"/>
      <c r="J69" s="792" t="s">
        <v>762</v>
      </c>
      <c r="O69" s="800">
        <v>2000</v>
      </c>
      <c r="Q69" s="92"/>
      <c r="R69" s="792"/>
      <c r="T69" s="94"/>
      <c r="U69" s="94"/>
      <c r="V69" s="94"/>
      <c r="W69" s="94"/>
      <c r="X69" s="94"/>
      <c r="Y69" s="94"/>
      <c r="Z69" s="94"/>
      <c r="AA69" s="345"/>
    </row>
    <row r="70" spans="2:27">
      <c r="B70" s="518"/>
      <c r="C70" s="94"/>
      <c r="D70" s="94"/>
      <c r="E70" s="94"/>
      <c r="G70" s="92"/>
      <c r="H70" s="792"/>
      <c r="O70" s="92"/>
      <c r="P70" s="792"/>
      <c r="R70" s="94"/>
      <c r="S70" s="94"/>
      <c r="T70" s="94"/>
      <c r="U70" s="94"/>
      <c r="V70" s="94"/>
      <c r="W70" s="94"/>
      <c r="X70" s="94"/>
      <c r="Y70" s="94"/>
      <c r="Z70" s="94"/>
      <c r="AA70" s="345"/>
    </row>
    <row r="71" spans="2:27">
      <c r="B71" s="518"/>
      <c r="C71" s="94"/>
      <c r="D71" s="94"/>
      <c r="E71" s="94"/>
      <c r="G71" s="92"/>
      <c r="H71" s="792"/>
      <c r="J71" s="91" t="s">
        <v>763</v>
      </c>
      <c r="O71" s="802">
        <f>O69+O67</f>
        <v>7467.415509032935</v>
      </c>
      <c r="P71" s="792"/>
      <c r="R71" s="94"/>
      <c r="S71" s="94"/>
      <c r="T71" s="94"/>
      <c r="U71" s="94"/>
      <c r="V71" s="94"/>
      <c r="W71" s="94"/>
      <c r="X71" s="94"/>
      <c r="Y71" s="94"/>
      <c r="Z71" s="94"/>
      <c r="AA71" s="345"/>
    </row>
    <row r="72" spans="2:27">
      <c r="B72" s="518"/>
      <c r="C72" s="94"/>
      <c r="D72" s="94"/>
      <c r="E72" s="94"/>
      <c r="G72" s="92"/>
      <c r="H72" s="792"/>
      <c r="O72" s="92"/>
      <c r="P72" s="792"/>
      <c r="R72" s="94"/>
      <c r="S72" s="94"/>
      <c r="T72" s="94"/>
      <c r="U72" s="94"/>
      <c r="V72" s="94"/>
      <c r="W72" s="94"/>
      <c r="X72" s="94"/>
      <c r="Y72" s="94"/>
      <c r="Z72" s="94"/>
      <c r="AA72" s="345"/>
    </row>
    <row r="73" spans="2:27">
      <c r="B73" s="518"/>
      <c r="C73" s="94"/>
      <c r="D73" s="94"/>
      <c r="E73" s="94"/>
      <c r="G73" s="92"/>
      <c r="H73" s="792"/>
      <c r="O73" s="92"/>
      <c r="P73" s="792"/>
      <c r="R73" s="94"/>
      <c r="S73" s="94"/>
      <c r="T73" s="94"/>
      <c r="U73" s="94"/>
      <c r="V73" s="94"/>
      <c r="W73" s="94"/>
      <c r="X73" s="94"/>
      <c r="Y73" s="94"/>
      <c r="Z73" s="94"/>
      <c r="AA73" s="345"/>
    </row>
    <row r="74" spans="2:27">
      <c r="B74" s="518"/>
      <c r="C74" s="94"/>
      <c r="D74" s="94"/>
      <c r="E74" s="94"/>
      <c r="G74" s="92"/>
      <c r="H74" s="792"/>
      <c r="O74" s="92"/>
      <c r="P74" s="792"/>
      <c r="R74" s="94"/>
      <c r="S74" s="94"/>
      <c r="T74" s="94"/>
      <c r="U74" s="94"/>
      <c r="V74" s="94"/>
      <c r="W74" s="94"/>
      <c r="X74" s="94"/>
      <c r="Y74" s="94"/>
      <c r="Z74" s="94"/>
      <c r="AA74" s="345"/>
    </row>
    <row r="75" spans="2:27">
      <c r="B75" s="518"/>
      <c r="C75" s="94"/>
      <c r="D75" s="94"/>
      <c r="E75" s="94"/>
      <c r="G75" s="92"/>
      <c r="H75" s="792"/>
      <c r="O75" s="92"/>
      <c r="P75" s="792"/>
      <c r="R75" s="94"/>
      <c r="S75" s="94"/>
      <c r="T75" s="94"/>
      <c r="U75" s="94"/>
      <c r="V75" s="94"/>
      <c r="W75" s="94"/>
      <c r="X75" s="94"/>
      <c r="Y75" s="94"/>
      <c r="Z75" s="94"/>
      <c r="AA75" s="345"/>
    </row>
    <row r="76" spans="2:27">
      <c r="B76" s="518"/>
      <c r="C76" s="94"/>
      <c r="D76" s="94"/>
      <c r="E76" s="94"/>
      <c r="G76" s="92"/>
      <c r="H76" s="792"/>
      <c r="O76" s="92"/>
      <c r="P76" s="792"/>
      <c r="R76" s="94"/>
      <c r="S76" s="94"/>
      <c r="T76" s="94"/>
      <c r="U76" s="94"/>
      <c r="V76" s="94"/>
      <c r="W76" s="94"/>
      <c r="X76" s="94"/>
      <c r="Y76" s="94"/>
      <c r="Z76" s="94"/>
      <c r="AA76" s="345"/>
    </row>
    <row r="77" spans="2:27">
      <c r="B77" s="518"/>
      <c r="C77" s="94"/>
      <c r="D77" s="94"/>
      <c r="E77" s="94"/>
      <c r="G77" s="92"/>
      <c r="H77" s="792"/>
      <c r="O77" s="92"/>
      <c r="P77" s="792"/>
      <c r="R77" s="94"/>
      <c r="S77" s="94"/>
      <c r="T77" s="94"/>
      <c r="U77" s="94"/>
      <c r="V77" s="94"/>
      <c r="W77" s="94"/>
      <c r="X77" s="94"/>
      <c r="Y77" s="94"/>
      <c r="Z77" s="94"/>
      <c r="AA77" s="345"/>
    </row>
    <row r="78" spans="2:27">
      <c r="B78" s="518"/>
      <c r="C78" s="94"/>
      <c r="D78" s="94"/>
      <c r="E78" s="94"/>
      <c r="O78" s="332"/>
      <c r="P78" s="793"/>
      <c r="R78" s="94"/>
      <c r="S78" s="94"/>
      <c r="T78" s="94"/>
      <c r="U78" s="94"/>
      <c r="V78" s="94"/>
      <c r="W78" s="94"/>
      <c r="X78" s="94"/>
      <c r="Y78" s="94"/>
      <c r="Z78" s="94"/>
      <c r="AA78" s="345"/>
    </row>
    <row r="79" spans="2:27">
      <c r="B79" s="518"/>
      <c r="C79" s="94"/>
      <c r="D79" s="94"/>
      <c r="E79" s="94"/>
      <c r="R79" s="94"/>
      <c r="S79" s="94"/>
      <c r="T79" s="94"/>
      <c r="U79" s="94"/>
      <c r="V79" s="94"/>
      <c r="W79" s="94"/>
      <c r="X79" s="94"/>
      <c r="Y79" s="94"/>
      <c r="Z79" s="94"/>
      <c r="AA79" s="345"/>
    </row>
    <row r="80" spans="2:27">
      <c r="B80" s="518"/>
      <c r="C80" s="94"/>
      <c r="D80" s="94"/>
      <c r="E80" s="94"/>
      <c r="R80" s="94"/>
      <c r="S80" s="94"/>
      <c r="T80" s="94"/>
      <c r="U80" s="94"/>
      <c r="V80" s="94"/>
      <c r="W80" s="94"/>
      <c r="X80" s="94"/>
      <c r="Y80" s="94"/>
      <c r="Z80" s="94"/>
      <c r="AA80" s="345"/>
    </row>
    <row r="81" spans="2:27">
      <c r="B81" s="518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345"/>
    </row>
    <row r="82" spans="2:27">
      <c r="B82" s="518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345"/>
    </row>
    <row r="83" spans="2:27">
      <c r="B83" s="518"/>
      <c r="C83" s="94"/>
      <c r="D83" s="95" t="s">
        <v>21</v>
      </c>
      <c r="J83" s="95" t="s">
        <v>177</v>
      </c>
      <c r="S83" s="94"/>
      <c r="T83" s="94"/>
      <c r="U83" s="94"/>
      <c r="V83" s="94"/>
      <c r="W83" s="94"/>
      <c r="X83" s="94"/>
      <c r="Y83" s="94"/>
      <c r="Z83" s="94"/>
      <c r="AA83" s="345"/>
    </row>
    <row r="84" spans="2:27" ht="13.5" thickBot="1">
      <c r="B84" s="518"/>
      <c r="C84" s="94"/>
      <c r="S84" s="94"/>
      <c r="T84" s="94"/>
      <c r="U84" s="94"/>
      <c r="V84" s="94"/>
      <c r="W84" s="94"/>
      <c r="X84" s="94"/>
      <c r="Y84" s="94"/>
      <c r="Z84" s="94"/>
      <c r="AA84" s="345"/>
    </row>
    <row r="85" spans="2:27">
      <c r="B85" s="518"/>
      <c r="C85" s="94"/>
      <c r="D85" s="516" t="s">
        <v>731</v>
      </c>
      <c r="E85" s="401"/>
      <c r="F85" s="401"/>
      <c r="G85" s="401"/>
      <c r="H85" s="517"/>
      <c r="I85" s="516"/>
      <c r="J85" s="401" t="s">
        <v>731</v>
      </c>
      <c r="K85" s="401"/>
      <c r="L85" s="401"/>
      <c r="M85" s="517"/>
      <c r="S85" s="94"/>
      <c r="T85" s="94"/>
      <c r="U85" s="94"/>
      <c r="V85" s="94"/>
      <c r="W85" s="94"/>
      <c r="X85" s="94"/>
      <c r="Y85" s="94"/>
      <c r="Z85" s="94"/>
      <c r="AA85" s="345"/>
    </row>
    <row r="86" spans="2:27">
      <c r="B86" s="518"/>
      <c r="C86" s="94"/>
      <c r="D86" s="518"/>
      <c r="E86" s="187">
        <v>10.5</v>
      </c>
      <c r="F86" s="94" t="s">
        <v>732</v>
      </c>
      <c r="G86" s="94"/>
      <c r="H86" s="345"/>
      <c r="I86" s="518"/>
      <c r="J86" s="94"/>
      <c r="K86" s="94">
        <v>3</v>
      </c>
      <c r="L86" s="94" t="s">
        <v>732</v>
      </c>
      <c r="M86" s="345"/>
      <c r="S86" s="94"/>
      <c r="T86" s="94"/>
      <c r="U86" s="94"/>
      <c r="V86" s="94"/>
      <c r="W86" s="94"/>
      <c r="X86" s="94"/>
      <c r="Y86" s="94"/>
      <c r="Z86" s="94"/>
      <c r="AA86" s="345"/>
    </row>
    <row r="87" spans="2:27">
      <c r="B87" s="518"/>
      <c r="C87" s="94"/>
      <c r="D87" s="518"/>
      <c r="E87" s="94">
        <v>314</v>
      </c>
      <c r="F87" s="94" t="s">
        <v>96</v>
      </c>
      <c r="G87" s="94">
        <f>E87-273.15</f>
        <v>40.850000000000023</v>
      </c>
      <c r="H87" s="345" t="s">
        <v>303</v>
      </c>
      <c r="I87" s="518"/>
      <c r="J87" s="94"/>
      <c r="K87" s="94">
        <v>15</v>
      </c>
      <c r="L87" s="94" t="s">
        <v>303</v>
      </c>
      <c r="M87" s="345"/>
      <c r="O87" s="91" t="s">
        <v>733</v>
      </c>
      <c r="S87" s="94"/>
      <c r="T87" s="94"/>
      <c r="U87" s="94"/>
      <c r="V87" s="94"/>
      <c r="W87" s="94"/>
      <c r="X87" s="94"/>
      <c r="Y87" s="94"/>
      <c r="Z87" s="94"/>
      <c r="AA87" s="345"/>
    </row>
    <row r="88" spans="2:27" ht="13.5" thickBot="1">
      <c r="B88" s="518"/>
      <c r="C88" s="94"/>
      <c r="D88" s="520"/>
      <c r="E88" s="231">
        <v>54</v>
      </c>
      <c r="F88" s="231" t="s">
        <v>86</v>
      </c>
      <c r="G88" s="231"/>
      <c r="H88" s="521"/>
      <c r="I88" s="520"/>
      <c r="J88" s="231"/>
      <c r="K88" s="231">
        <v>2000</v>
      </c>
      <c r="L88" s="231" t="s">
        <v>424</v>
      </c>
      <c r="M88" s="521"/>
      <c r="S88" s="94"/>
      <c r="T88" s="94"/>
      <c r="U88" s="94"/>
      <c r="V88" s="94"/>
      <c r="W88" s="94"/>
      <c r="X88" s="94"/>
      <c r="Y88" s="94"/>
      <c r="Z88" s="94"/>
      <c r="AA88" s="345"/>
    </row>
    <row r="89" spans="2:27">
      <c r="B89" s="518"/>
      <c r="C89" s="94"/>
      <c r="D89" s="516"/>
      <c r="E89" s="401"/>
      <c r="F89" s="401"/>
      <c r="G89" s="754">
        <f>E88*5.2*(E87-E92)</f>
        <v>5500.0000009999922</v>
      </c>
      <c r="H89" s="458" t="s">
        <v>226</v>
      </c>
      <c r="I89" s="755">
        <f>K88*1000/3600*(K92-K87)*4.184</f>
        <v>5500.0000000000027</v>
      </c>
      <c r="J89" s="742"/>
      <c r="K89" s="756">
        <f>K88/60</f>
        <v>33.333333333333336</v>
      </c>
      <c r="L89" s="742" t="s">
        <v>734</v>
      </c>
      <c r="M89" s="743"/>
      <c r="S89" s="94"/>
      <c r="T89" s="94"/>
      <c r="U89" s="94"/>
      <c r="V89" s="94"/>
      <c r="W89" s="94"/>
      <c r="X89" s="94"/>
      <c r="Y89" s="94"/>
      <c r="Z89" s="94"/>
      <c r="AA89" s="345"/>
    </row>
    <row r="90" spans="2:27">
      <c r="B90" s="518"/>
      <c r="C90" s="94"/>
      <c r="D90" s="518" t="s">
        <v>735</v>
      </c>
      <c r="E90" s="94"/>
      <c r="F90" s="94"/>
      <c r="G90" s="94"/>
      <c r="H90" s="345"/>
      <c r="I90" s="709"/>
      <c r="J90" s="724" t="s">
        <v>735</v>
      </c>
      <c r="K90" s="724"/>
      <c r="L90" s="724"/>
      <c r="M90" s="744"/>
      <c r="S90" s="94"/>
      <c r="T90" s="94"/>
      <c r="U90" s="94"/>
      <c r="V90" s="94"/>
      <c r="W90" s="94"/>
      <c r="X90" s="94"/>
      <c r="Y90" s="94"/>
      <c r="Z90" s="94"/>
      <c r="AA90" s="345"/>
    </row>
    <row r="91" spans="2:27">
      <c r="B91" s="518"/>
      <c r="C91" s="94"/>
      <c r="D91" s="518"/>
      <c r="E91" s="187">
        <v>10.45</v>
      </c>
      <c r="F91" s="94" t="s">
        <v>732</v>
      </c>
      <c r="G91" s="94"/>
      <c r="H91" s="345"/>
      <c r="I91" s="709"/>
      <c r="J91" s="724"/>
      <c r="K91" s="724">
        <v>2.9</v>
      </c>
      <c r="L91" s="724" t="s">
        <v>732</v>
      </c>
      <c r="M91" s="744"/>
      <c r="S91" s="94"/>
      <c r="T91" s="94"/>
      <c r="U91" s="94"/>
      <c r="V91" s="94"/>
      <c r="W91" s="94"/>
      <c r="X91" s="94"/>
      <c r="Y91" s="94"/>
      <c r="Z91" s="94"/>
      <c r="AA91" s="345"/>
    </row>
    <row r="92" spans="2:27" ht="13.5" thickBot="1">
      <c r="B92" s="518"/>
      <c r="C92" s="94"/>
      <c r="D92" s="520"/>
      <c r="E92" s="757">
        <v>294.41310540954419</v>
      </c>
      <c r="F92" s="231" t="s">
        <v>96</v>
      </c>
      <c r="G92" s="757">
        <f>E92-273.15</f>
        <v>21.26310540954421</v>
      </c>
      <c r="H92" s="521" t="s">
        <v>303</v>
      </c>
      <c r="I92" s="758"/>
      <c r="J92" s="759"/>
      <c r="K92" s="760">
        <v>17.366156787762907</v>
      </c>
      <c r="L92" s="759" t="s">
        <v>303</v>
      </c>
      <c r="M92" s="761"/>
      <c r="S92" s="94"/>
      <c r="T92" s="94"/>
      <c r="U92" s="94"/>
      <c r="V92" s="94"/>
      <c r="W92" s="94"/>
      <c r="X92" s="94"/>
      <c r="Y92" s="94"/>
      <c r="Z92" s="94"/>
      <c r="AA92" s="345"/>
    </row>
    <row r="93" spans="2:27">
      <c r="B93" s="518"/>
      <c r="C93" s="94"/>
      <c r="S93" s="94"/>
      <c r="T93" s="94"/>
      <c r="U93" s="94"/>
      <c r="V93" s="94"/>
      <c r="W93" s="94"/>
      <c r="X93" s="94"/>
      <c r="Y93" s="94"/>
      <c r="Z93" s="94"/>
      <c r="AA93" s="345"/>
    </row>
    <row r="94" spans="2:27">
      <c r="B94" s="518"/>
      <c r="C94" s="94"/>
      <c r="D94" s="91" t="s">
        <v>736</v>
      </c>
      <c r="J94" s="91">
        <v>2000</v>
      </c>
      <c r="K94" s="91" t="s">
        <v>226</v>
      </c>
      <c r="S94" s="94"/>
      <c r="T94" s="94"/>
      <c r="U94" s="94"/>
      <c r="V94" s="94"/>
      <c r="W94" s="94"/>
      <c r="X94" s="94"/>
      <c r="Y94" s="94"/>
      <c r="Z94" s="94"/>
      <c r="AA94" s="345"/>
    </row>
    <row r="95" spans="2:27">
      <c r="B95" s="518"/>
      <c r="C95" s="94"/>
      <c r="D95" s="91" t="s">
        <v>737</v>
      </c>
      <c r="J95" s="91">
        <v>7500</v>
      </c>
      <c r="K95" s="91" t="s">
        <v>226</v>
      </c>
      <c r="S95" s="94"/>
      <c r="T95" s="94"/>
      <c r="U95" s="94"/>
      <c r="V95" s="94"/>
      <c r="W95" s="94"/>
      <c r="X95" s="94"/>
      <c r="Y95" s="94"/>
      <c r="Z95" s="94"/>
      <c r="AA95" s="345"/>
    </row>
    <row r="96" spans="2:27">
      <c r="B96" s="518"/>
      <c r="C96" s="94"/>
      <c r="D96" s="91" t="s">
        <v>738</v>
      </c>
      <c r="L96" s="92">
        <v>500</v>
      </c>
      <c r="M96" s="91" t="s">
        <v>424</v>
      </c>
      <c r="S96" s="94"/>
      <c r="T96" s="94"/>
      <c r="U96" s="94"/>
      <c r="V96" s="94"/>
      <c r="W96" s="94"/>
      <c r="X96" s="94"/>
      <c r="Y96" s="94"/>
      <c r="Z96" s="94"/>
      <c r="AA96" s="345"/>
    </row>
    <row r="97" spans="2:27">
      <c r="B97" s="518"/>
      <c r="C97" s="94"/>
      <c r="D97" s="91" t="s">
        <v>739</v>
      </c>
      <c r="J97" s="91">
        <v>43</v>
      </c>
      <c r="K97" s="91" t="s">
        <v>734</v>
      </c>
      <c r="L97" s="92">
        <f>J97*60</f>
        <v>2580</v>
      </c>
      <c r="M97" s="91" t="s">
        <v>424</v>
      </c>
      <c r="S97" s="94"/>
      <c r="T97" s="94"/>
      <c r="U97" s="94"/>
      <c r="V97" s="94"/>
      <c r="W97" s="94"/>
      <c r="X97" s="94"/>
      <c r="Y97" s="94"/>
      <c r="Z97" s="94"/>
      <c r="AA97" s="345"/>
    </row>
    <row r="98" spans="2:27">
      <c r="B98" s="518"/>
      <c r="C98" s="94"/>
      <c r="S98" s="94"/>
      <c r="T98" s="94"/>
      <c r="U98" s="94"/>
      <c r="V98" s="94"/>
      <c r="W98" s="94"/>
      <c r="X98" s="94"/>
      <c r="Y98" s="94"/>
      <c r="Z98" s="94"/>
      <c r="AA98" s="345"/>
    </row>
    <row r="99" spans="2:27">
      <c r="B99" s="518"/>
      <c r="C99" s="94"/>
      <c r="F99" s="91">
        <f>K87</f>
        <v>15</v>
      </c>
      <c r="L99" s="91">
        <f>K92</f>
        <v>17.366156787762907</v>
      </c>
      <c r="S99" s="94"/>
      <c r="T99" s="94"/>
      <c r="U99" s="94"/>
      <c r="V99" s="94"/>
      <c r="W99" s="94"/>
      <c r="X99" s="94"/>
      <c r="Y99" s="94"/>
      <c r="Z99" s="94"/>
      <c r="AA99" s="345"/>
    </row>
    <row r="100" spans="2:27">
      <c r="B100" s="518"/>
      <c r="C100" s="94"/>
      <c r="S100" s="94"/>
      <c r="T100" s="94"/>
      <c r="U100" s="94"/>
      <c r="V100" s="94"/>
      <c r="W100" s="94"/>
      <c r="X100" s="94"/>
      <c r="Y100" s="94"/>
      <c r="Z100" s="94"/>
      <c r="AA100" s="345"/>
    </row>
    <row r="101" spans="2:27">
      <c r="B101" s="518"/>
      <c r="C101" s="94"/>
      <c r="F101" s="91">
        <f>G92</f>
        <v>21.26310540954421</v>
      </c>
      <c r="L101" s="91">
        <f>G87</f>
        <v>40.850000000000023</v>
      </c>
      <c r="S101" s="94"/>
      <c r="T101" s="94"/>
      <c r="U101" s="94"/>
      <c r="V101" s="94"/>
      <c r="W101" s="94"/>
      <c r="X101" s="94"/>
      <c r="Y101" s="94"/>
      <c r="Z101" s="94"/>
      <c r="AA101" s="345"/>
    </row>
    <row r="102" spans="2:27">
      <c r="B102" s="518"/>
      <c r="C102" s="94"/>
      <c r="S102" s="94"/>
      <c r="T102" s="94"/>
      <c r="U102" s="94"/>
      <c r="V102" s="94"/>
      <c r="W102" s="94"/>
      <c r="X102" s="94"/>
      <c r="Y102" s="94"/>
      <c r="Z102" s="94"/>
      <c r="AA102" s="345"/>
    </row>
    <row r="103" spans="2:27">
      <c r="B103" s="518"/>
      <c r="C103" s="94"/>
      <c r="S103" s="94"/>
      <c r="T103" s="94"/>
      <c r="U103" s="94"/>
      <c r="V103" s="94"/>
      <c r="W103" s="94"/>
      <c r="X103" s="94"/>
      <c r="Y103" s="94"/>
      <c r="Z103" s="94"/>
      <c r="AA103" s="345"/>
    </row>
    <row r="104" spans="2:27">
      <c r="B104" s="518"/>
      <c r="C104" s="94"/>
      <c r="S104" s="94"/>
      <c r="T104" s="94"/>
      <c r="U104" s="94"/>
      <c r="V104" s="94"/>
      <c r="W104" s="94"/>
      <c r="X104" s="94"/>
      <c r="Y104" s="94"/>
      <c r="Z104" s="94"/>
      <c r="AA104" s="345"/>
    </row>
    <row r="105" spans="2:27">
      <c r="B105" s="518"/>
      <c r="C105" s="94"/>
      <c r="S105" s="94"/>
      <c r="T105" s="94"/>
      <c r="U105" s="94"/>
      <c r="V105" s="94"/>
      <c r="W105" s="94"/>
      <c r="X105" s="94"/>
      <c r="Y105" s="94"/>
      <c r="Z105" s="94"/>
      <c r="AA105" s="345"/>
    </row>
    <row r="106" spans="2:27">
      <c r="B106" s="518"/>
      <c r="C106" s="94"/>
      <c r="H106" s="91" t="s">
        <v>740</v>
      </c>
      <c r="I106" s="762">
        <f>ABS(((F99-F101)-(L99-L101))/LN((F99-F101)/(L99-L101)))</f>
        <v>13.02985914754143</v>
      </c>
      <c r="J106" s="91" t="s">
        <v>96</v>
      </c>
      <c r="S106" s="94"/>
      <c r="T106" s="94"/>
      <c r="U106" s="94"/>
      <c r="V106" s="94"/>
      <c r="W106" s="94"/>
      <c r="X106" s="94"/>
      <c r="Y106" s="94"/>
      <c r="Z106" s="94"/>
      <c r="AA106" s="345"/>
    </row>
    <row r="107" spans="2:27" ht="13.5" thickBot="1">
      <c r="B107" s="518"/>
      <c r="C107" s="94"/>
      <c r="H107" s="91" t="s">
        <v>741</v>
      </c>
      <c r="I107" s="762">
        <f>G89/I106</f>
        <v>422.1074025990352</v>
      </c>
      <c r="J107" s="91" t="s">
        <v>742</v>
      </c>
      <c r="S107" s="94"/>
      <c r="T107" s="94"/>
      <c r="U107" s="94"/>
      <c r="V107" s="94"/>
      <c r="W107" s="94"/>
      <c r="X107" s="94"/>
      <c r="Y107" s="94"/>
      <c r="Z107" s="94"/>
      <c r="AA107" s="345"/>
    </row>
    <row r="108" spans="2:27" ht="13.5" thickBot="1">
      <c r="B108" s="518"/>
      <c r="C108" s="94"/>
      <c r="D108" s="763" t="s">
        <v>743</v>
      </c>
      <c r="E108" s="764">
        <f>E92-3.7</f>
        <v>290.7131054095442</v>
      </c>
      <c r="S108" s="94"/>
      <c r="T108" s="94"/>
      <c r="U108" s="94"/>
      <c r="V108" s="94"/>
      <c r="W108" s="94"/>
      <c r="X108" s="94"/>
      <c r="Y108" s="94"/>
      <c r="Z108" s="94"/>
      <c r="AA108" s="345"/>
    </row>
    <row r="109" spans="2:27" ht="13.5" thickBot="1">
      <c r="B109" s="518"/>
      <c r="C109" s="94"/>
      <c r="S109" s="94"/>
      <c r="T109" s="94"/>
      <c r="U109" s="94"/>
      <c r="V109" s="94"/>
      <c r="W109" s="94"/>
      <c r="X109" s="94"/>
      <c r="Y109" s="94"/>
      <c r="Z109" s="94"/>
      <c r="AA109" s="345"/>
    </row>
    <row r="110" spans="2:27" ht="13.5" thickBot="1">
      <c r="B110" s="518"/>
      <c r="C110" s="94"/>
      <c r="D110" s="763" t="s">
        <v>744</v>
      </c>
      <c r="E110" s="765">
        <f>298/E108*51.8</f>
        <v>53.09839739854128</v>
      </c>
      <c r="S110" s="94"/>
      <c r="T110" s="94"/>
      <c r="U110" s="94"/>
      <c r="V110" s="94"/>
      <c r="W110" s="94"/>
      <c r="X110" s="94"/>
      <c r="Y110" s="94"/>
      <c r="Z110" s="94"/>
      <c r="AA110" s="345"/>
    </row>
    <row r="111" spans="2:27">
      <c r="B111" s="518"/>
      <c r="C111" s="94"/>
      <c r="S111" s="94"/>
      <c r="T111" s="94"/>
      <c r="U111" s="94"/>
      <c r="V111" s="94"/>
      <c r="W111" s="94"/>
      <c r="X111" s="94"/>
      <c r="Y111" s="94"/>
      <c r="Z111" s="94"/>
      <c r="AA111" s="345"/>
    </row>
    <row r="112" spans="2:27">
      <c r="B112" s="518"/>
      <c r="C112" s="94"/>
      <c r="S112" s="94"/>
      <c r="T112" s="94"/>
      <c r="U112" s="94"/>
      <c r="V112" s="94"/>
      <c r="W112" s="94"/>
      <c r="X112" s="94"/>
      <c r="Y112" s="94"/>
      <c r="Z112" s="94"/>
      <c r="AA112" s="345"/>
    </row>
    <row r="113" spans="2:27">
      <c r="B113" s="518"/>
      <c r="C113" s="94"/>
      <c r="S113" s="94"/>
      <c r="T113" s="94"/>
      <c r="U113" s="94"/>
      <c r="V113" s="94"/>
      <c r="W113" s="94"/>
      <c r="X113" s="94"/>
      <c r="Y113" s="94"/>
      <c r="Z113" s="94"/>
      <c r="AA113" s="345"/>
    </row>
    <row r="114" spans="2:27">
      <c r="B114" s="518"/>
      <c r="C114" s="94"/>
      <c r="S114" s="94"/>
      <c r="T114" s="94"/>
      <c r="U114" s="94"/>
      <c r="V114" s="94"/>
      <c r="W114" s="94"/>
      <c r="X114" s="94"/>
      <c r="Y114" s="94"/>
      <c r="Z114" s="94"/>
      <c r="AA114" s="345"/>
    </row>
    <row r="115" spans="2:27">
      <c r="B115" s="518"/>
      <c r="C115" s="94"/>
      <c r="S115" s="94"/>
      <c r="T115" s="94"/>
      <c r="U115" s="94"/>
      <c r="V115" s="94"/>
      <c r="W115" s="94"/>
      <c r="X115" s="94"/>
      <c r="Y115" s="94"/>
      <c r="Z115" s="94"/>
      <c r="AA115" s="345"/>
    </row>
    <row r="116" spans="2:27">
      <c r="B116" s="518"/>
      <c r="C116" s="94"/>
      <c r="S116" s="94"/>
      <c r="T116" s="94"/>
      <c r="U116" s="94"/>
      <c r="V116" s="94"/>
      <c r="W116" s="94"/>
      <c r="X116" s="94"/>
      <c r="Y116" s="94"/>
      <c r="Z116" s="94"/>
      <c r="AA116" s="345"/>
    </row>
    <row r="117" spans="2:27">
      <c r="B117" s="518"/>
      <c r="C117" s="94"/>
      <c r="S117" s="94"/>
      <c r="T117" s="94"/>
      <c r="U117" s="94"/>
      <c r="V117" s="94"/>
      <c r="W117" s="94"/>
      <c r="X117" s="94"/>
      <c r="Y117" s="94"/>
      <c r="Z117" s="94"/>
      <c r="AA117" s="345"/>
    </row>
    <row r="118" spans="2:27">
      <c r="B118" s="518"/>
      <c r="C118" s="94"/>
      <c r="S118" s="94"/>
      <c r="T118" s="94"/>
      <c r="U118" s="94"/>
      <c r="V118" s="94"/>
      <c r="W118" s="94"/>
      <c r="X118" s="94"/>
      <c r="Y118" s="94"/>
      <c r="Z118" s="94"/>
      <c r="AA118" s="345"/>
    </row>
    <row r="119" spans="2:27">
      <c r="B119" s="518"/>
      <c r="C119" s="94"/>
      <c r="S119" s="94"/>
      <c r="T119" s="94"/>
      <c r="U119" s="94"/>
      <c r="V119" s="94"/>
      <c r="W119" s="94"/>
      <c r="X119" s="94"/>
      <c r="Y119" s="94"/>
      <c r="Z119" s="94"/>
      <c r="AA119" s="345"/>
    </row>
    <row r="120" spans="2:27">
      <c r="B120" s="518"/>
      <c r="C120" s="94"/>
      <c r="S120" s="94"/>
      <c r="T120" s="94"/>
      <c r="U120" s="94"/>
      <c r="V120" s="94"/>
      <c r="W120" s="94"/>
      <c r="X120" s="94"/>
      <c r="Y120" s="94"/>
      <c r="Z120" s="94"/>
      <c r="AA120" s="345"/>
    </row>
    <row r="121" spans="2:27">
      <c r="B121" s="518"/>
      <c r="C121" s="94"/>
      <c r="S121" s="94"/>
      <c r="T121" s="94"/>
      <c r="U121" s="94"/>
      <c r="V121" s="94"/>
      <c r="W121" s="94"/>
      <c r="X121" s="94"/>
      <c r="Y121" s="94"/>
      <c r="Z121" s="94"/>
      <c r="AA121" s="345"/>
    </row>
    <row r="122" spans="2:27">
      <c r="B122" s="518"/>
      <c r="C122" s="94"/>
      <c r="S122" s="94"/>
      <c r="T122" s="94"/>
      <c r="U122" s="94"/>
      <c r="V122" s="94"/>
      <c r="W122" s="94"/>
      <c r="X122" s="94"/>
      <c r="Y122" s="94"/>
      <c r="Z122" s="94"/>
      <c r="AA122" s="345"/>
    </row>
    <row r="123" spans="2:27">
      <c r="B123" s="518"/>
      <c r="C123" s="94"/>
      <c r="S123" s="94"/>
      <c r="T123" s="94"/>
      <c r="U123" s="94"/>
      <c r="V123" s="94"/>
      <c r="W123" s="94"/>
      <c r="X123" s="94"/>
      <c r="Y123" s="94"/>
      <c r="Z123" s="94"/>
      <c r="AA123" s="345"/>
    </row>
    <row r="124" spans="2:27">
      <c r="B124" s="518"/>
      <c r="C124" s="94"/>
      <c r="S124" s="94"/>
      <c r="T124" s="94"/>
      <c r="U124" s="94"/>
      <c r="V124" s="94"/>
      <c r="W124" s="94"/>
      <c r="X124" s="94"/>
      <c r="Y124" s="94"/>
      <c r="Z124" s="94"/>
      <c r="AA124" s="345"/>
    </row>
    <row r="125" spans="2:27">
      <c r="B125" s="518"/>
      <c r="C125" s="94"/>
      <c r="S125" s="94"/>
      <c r="T125" s="94"/>
      <c r="U125" s="94"/>
      <c r="V125" s="94"/>
      <c r="W125" s="94"/>
      <c r="X125" s="94"/>
      <c r="Y125" s="94"/>
      <c r="Z125" s="94"/>
      <c r="AA125" s="345"/>
    </row>
    <row r="126" spans="2:27">
      <c r="B126" s="518"/>
      <c r="C126" s="94"/>
      <c r="S126" s="94"/>
      <c r="T126" s="94"/>
      <c r="U126" s="94"/>
      <c r="V126" s="94"/>
      <c r="W126" s="94"/>
      <c r="X126" s="94"/>
      <c r="Y126" s="94"/>
      <c r="Z126" s="94"/>
      <c r="AA126" s="345"/>
    </row>
    <row r="127" spans="2:27">
      <c r="B127" s="518"/>
      <c r="C127" s="94"/>
      <c r="S127" s="94"/>
      <c r="T127" s="94"/>
      <c r="U127" s="94"/>
      <c r="V127" s="94"/>
      <c r="W127" s="94"/>
      <c r="X127" s="94"/>
      <c r="Y127" s="94"/>
      <c r="Z127" s="94"/>
      <c r="AA127" s="345"/>
    </row>
    <row r="128" spans="2:27">
      <c r="B128" s="518"/>
      <c r="C128" s="94"/>
      <c r="S128" s="94"/>
      <c r="T128" s="94"/>
      <c r="U128" s="94"/>
      <c r="V128" s="94"/>
      <c r="W128" s="94"/>
      <c r="X128" s="94"/>
      <c r="Y128" s="94"/>
      <c r="Z128" s="94"/>
      <c r="AA128" s="345"/>
    </row>
    <row r="129" spans="1:27" ht="11.25" customHeight="1">
      <c r="B129" s="518"/>
      <c r="C129" s="94"/>
      <c r="S129" s="94"/>
      <c r="T129" s="94"/>
      <c r="U129" s="94"/>
      <c r="V129" s="94"/>
      <c r="W129" s="94"/>
      <c r="X129" s="94"/>
      <c r="Y129" s="94"/>
      <c r="Z129" s="94"/>
      <c r="AA129" s="345"/>
    </row>
    <row r="130" spans="1:27">
      <c r="B130" s="518"/>
      <c r="C130" s="94"/>
      <c r="S130" s="94"/>
      <c r="T130" s="94"/>
      <c r="U130" s="94"/>
      <c r="V130" s="94"/>
      <c r="W130" s="94"/>
      <c r="X130" s="94"/>
      <c r="Y130" s="94"/>
      <c r="Z130" s="94"/>
      <c r="AA130" s="345"/>
    </row>
    <row r="131" spans="1:27">
      <c r="B131" s="518"/>
      <c r="C131" s="94"/>
      <c r="S131" s="94"/>
      <c r="T131" s="94"/>
      <c r="U131" s="94"/>
      <c r="V131" s="94"/>
      <c r="W131" s="94"/>
      <c r="X131" s="94"/>
      <c r="Y131" s="94"/>
      <c r="Z131" s="94"/>
      <c r="AA131" s="345"/>
    </row>
    <row r="132" spans="1:27">
      <c r="B132" s="518"/>
      <c r="C132" s="94"/>
      <c r="S132" s="94"/>
      <c r="T132" s="187"/>
      <c r="U132" s="187"/>
      <c r="V132" s="94"/>
      <c r="W132" s="94"/>
      <c r="X132" s="94"/>
      <c r="Y132" s="94"/>
      <c r="Z132" s="94"/>
      <c r="AA132" s="345"/>
    </row>
    <row r="133" spans="1:27" ht="13.5" thickBot="1">
      <c r="B133" s="520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521"/>
    </row>
    <row r="134" spans="1:27" ht="15" customHeight="1">
      <c r="A134" s="432"/>
      <c r="B134" s="766"/>
      <c r="C134" s="767"/>
      <c r="D134" s="768" t="s">
        <v>663</v>
      </c>
      <c r="E134" s="767"/>
      <c r="F134" s="769"/>
      <c r="G134" s="770"/>
      <c r="H134" s="771" t="s">
        <v>664</v>
      </c>
      <c r="I134" s="772"/>
      <c r="J134" s="771"/>
      <c r="K134" s="771"/>
      <c r="L134" s="771"/>
      <c r="M134" s="771" t="s">
        <v>756</v>
      </c>
      <c r="N134" s="771"/>
      <c r="O134" s="771"/>
      <c r="P134" s="770"/>
      <c r="Q134" s="769"/>
      <c r="R134" s="770"/>
      <c r="S134" s="770" t="s">
        <v>665</v>
      </c>
      <c r="T134" s="773"/>
      <c r="U134" s="771"/>
      <c r="V134" s="771" t="s">
        <v>756</v>
      </c>
      <c r="W134" s="771"/>
      <c r="X134" s="772"/>
      <c r="Y134" s="771"/>
      <c r="Z134" s="771" t="s">
        <v>667</v>
      </c>
      <c r="AA134" s="774"/>
    </row>
    <row r="135" spans="1:27" ht="15" customHeight="1">
      <c r="B135" s="775"/>
      <c r="C135" s="776"/>
      <c r="D135" s="777" t="s">
        <v>757</v>
      </c>
      <c r="E135" s="776"/>
      <c r="F135" s="778"/>
      <c r="G135" s="779"/>
      <c r="H135" s="780" t="s">
        <v>758</v>
      </c>
      <c r="I135" s="781"/>
      <c r="J135" s="780"/>
      <c r="K135" s="780"/>
      <c r="L135" s="780"/>
      <c r="M135" s="780"/>
      <c r="N135" s="780"/>
      <c r="O135" s="780"/>
      <c r="P135" s="779"/>
      <c r="Q135" s="782"/>
      <c r="R135" s="779"/>
      <c r="S135" s="779"/>
      <c r="T135" s="782"/>
      <c r="U135" s="780"/>
      <c r="V135" s="780"/>
      <c r="W135" s="780"/>
      <c r="X135" s="781"/>
      <c r="Y135" s="780"/>
      <c r="Z135" s="783" t="s">
        <v>669</v>
      </c>
      <c r="AA135" s="784"/>
    </row>
    <row r="136" spans="1:27" ht="15" customHeight="1" thickBot="1">
      <c r="B136" s="520"/>
      <c r="C136" s="231"/>
      <c r="D136" s="231"/>
      <c r="E136" s="231"/>
      <c r="F136" s="785"/>
      <c r="G136" s="786"/>
      <c r="H136" s="231"/>
      <c r="I136" s="785"/>
      <c r="J136" s="231"/>
      <c r="K136" s="231"/>
      <c r="L136" s="231"/>
      <c r="M136" s="231"/>
      <c r="N136" s="231"/>
      <c r="O136" s="231"/>
      <c r="P136" s="231"/>
      <c r="Q136" s="785"/>
      <c r="R136" s="231"/>
      <c r="S136" s="231"/>
      <c r="T136" s="785"/>
      <c r="U136" s="231"/>
      <c r="V136" s="231"/>
      <c r="W136" s="231"/>
      <c r="X136" s="785"/>
      <c r="Y136" s="231"/>
      <c r="Z136" s="231"/>
      <c r="AA136" s="521"/>
    </row>
  </sheetData>
  <protectedRanges>
    <protectedRange sqref="M2:M3 U7:X7 T8:Z8 K6 W3 X3:X5" name="Titre_1"/>
  </protectedRanges>
  <phoneticPr fontId="12" type="noConversion"/>
  <pageMargins left="0.75" right="0.75" top="0.54" bottom="0.5" header="0.4921259845" footer="0.4921259845"/>
  <pageSetup paperSize="9" scale="61" orientation="portrait" r:id="rId1"/>
  <headerFooter alignWithMargins="0"/>
  <colBreaks count="1" manualBreakCount="1">
    <brk id="28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Feuil30"/>
  <dimension ref="A1:AG96"/>
  <sheetViews>
    <sheetView topLeftCell="A7" zoomScale="70" zoomScaleNormal="100" zoomScaleSheetLayoutView="100" workbookViewId="0">
      <selection activeCell="N31" sqref="N31"/>
    </sheetView>
  </sheetViews>
  <sheetFormatPr defaultColWidth="11.42578125" defaultRowHeight="12.75"/>
  <cols>
    <col min="1" max="1" width="1.85546875" style="91" customWidth="1"/>
    <col min="2" max="2" width="3" style="91" customWidth="1"/>
    <col min="3" max="4" width="4" style="91" customWidth="1"/>
    <col min="5" max="5" width="6" style="91" bestFit="1" customWidth="1"/>
    <col min="6" max="6" width="4" style="91" customWidth="1"/>
    <col min="7" max="7" width="6" style="91" bestFit="1" customWidth="1"/>
    <col min="8" max="8" width="11.140625" style="91" bestFit="1" customWidth="1"/>
    <col min="9" max="9" width="15.28515625" style="91" bestFit="1" customWidth="1"/>
    <col min="10" max="10" width="9.42578125" style="91" customWidth="1"/>
    <col min="11" max="11" width="13.42578125" style="91" customWidth="1"/>
    <col min="12" max="12" width="12.28515625" style="91" bestFit="1" customWidth="1"/>
    <col min="13" max="13" width="18" style="91" bestFit="1" customWidth="1"/>
    <col min="14" max="14" width="12.7109375" style="91" customWidth="1"/>
    <col min="15" max="15" width="10.140625" style="91" customWidth="1"/>
    <col min="16" max="16" width="8.7109375" style="91" customWidth="1"/>
    <col min="17" max="17" width="3.28515625" style="91" bestFit="1" customWidth="1"/>
    <col min="18" max="18" width="9.5703125" style="91" bestFit="1" customWidth="1"/>
    <col min="19" max="19" width="13.28515625" style="91" customWidth="1"/>
    <col min="20" max="20" width="9.140625" style="91" bestFit="1" customWidth="1"/>
    <col min="21" max="21" width="8" style="91" bestFit="1" customWidth="1"/>
    <col min="22" max="22" width="3.42578125" style="91" customWidth="1"/>
    <col min="23" max="27" width="3.28515625" style="91" customWidth="1"/>
    <col min="28" max="28" width="1.85546875" style="91" customWidth="1"/>
    <col min="29" max="33" width="3.85546875" style="91" customWidth="1"/>
    <col min="34" max="16384" width="11.42578125" style="91"/>
  </cols>
  <sheetData>
    <row r="1" spans="1:33" ht="8.25" customHeight="1" thickBot="1"/>
    <row r="2" spans="1:33" ht="18" customHeight="1">
      <c r="A2" s="94"/>
      <c r="B2" s="516"/>
      <c r="C2" s="401"/>
      <c r="D2" s="401"/>
      <c r="E2" s="401"/>
      <c r="F2" s="401"/>
      <c r="G2" s="401"/>
      <c r="H2" s="705"/>
      <c r="I2" s="401"/>
      <c r="J2" s="706" t="s">
        <v>634</v>
      </c>
      <c r="K2" s="707"/>
      <c r="L2" s="707"/>
      <c r="M2" s="708" t="s">
        <v>748</v>
      </c>
      <c r="N2" s="707"/>
      <c r="O2" s="707"/>
      <c r="P2" s="401"/>
      <c r="Q2" s="401"/>
      <c r="R2" s="401"/>
      <c r="S2" s="401"/>
      <c r="T2" s="401"/>
      <c r="U2" s="401"/>
      <c r="V2" s="705"/>
      <c r="W2" s="401"/>
      <c r="X2" s="401"/>
      <c r="Y2" s="443" t="s">
        <v>635</v>
      </c>
      <c r="Z2" s="401"/>
      <c r="AA2" s="517"/>
      <c r="AC2" s="94"/>
      <c r="AD2" s="94"/>
      <c r="AE2" s="94"/>
      <c r="AF2" s="94"/>
      <c r="AG2" s="94"/>
    </row>
    <row r="3" spans="1:33">
      <c r="A3" s="94"/>
      <c r="B3" s="709"/>
      <c r="C3" s="710"/>
      <c r="D3" s="710"/>
      <c r="E3" s="710"/>
      <c r="F3" s="710"/>
      <c r="G3" s="710"/>
      <c r="H3" s="711"/>
      <c r="I3" s="710"/>
      <c r="J3" s="712" t="s">
        <v>636</v>
      </c>
      <c r="K3" s="710"/>
      <c r="L3" s="710"/>
      <c r="M3" s="713" t="s">
        <v>749</v>
      </c>
      <c r="N3" s="710"/>
      <c r="O3" s="710"/>
      <c r="P3" s="94"/>
      <c r="Q3" s="94"/>
      <c r="R3" s="94"/>
      <c r="S3" s="94"/>
      <c r="T3" s="94"/>
      <c r="U3" s="94"/>
      <c r="V3" s="714"/>
      <c r="W3" s="94"/>
      <c r="X3" s="94"/>
      <c r="Y3" s="472" t="s">
        <v>750</v>
      </c>
      <c r="Z3" s="94"/>
      <c r="AA3" s="345"/>
      <c r="AC3" s="94"/>
      <c r="AD3" s="94"/>
      <c r="AE3" s="94"/>
      <c r="AF3" s="94"/>
      <c r="AG3" s="94"/>
    </row>
    <row r="4" spans="1:33">
      <c r="A4" s="94"/>
      <c r="B4" s="715"/>
      <c r="C4" s="716"/>
      <c r="D4" s="716"/>
      <c r="E4" s="716"/>
      <c r="F4" s="716"/>
      <c r="G4" s="716"/>
      <c r="H4" s="717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8"/>
      <c r="V4" s="719"/>
      <c r="W4" s="720"/>
      <c r="X4" s="721"/>
      <c r="Y4" s="721"/>
      <c r="Z4" s="721"/>
      <c r="AA4" s="722"/>
      <c r="AC4" s="723"/>
      <c r="AD4" s="723"/>
      <c r="AE4" s="723"/>
      <c r="AF4" s="723"/>
      <c r="AG4" s="723"/>
    </row>
    <row r="5" spans="1:33">
      <c r="A5" s="94"/>
      <c r="B5" s="709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24"/>
      <c r="V5" s="714"/>
      <c r="W5" s="725"/>
      <c r="X5" s="725"/>
      <c r="Y5" s="726" t="s">
        <v>640</v>
      </c>
      <c r="Z5" s="725"/>
      <c r="AA5" s="345"/>
      <c r="AC5" s="723"/>
      <c r="AD5" s="723"/>
      <c r="AE5" s="723"/>
      <c r="AF5" s="723"/>
      <c r="AG5" s="723"/>
    </row>
    <row r="6" spans="1:33">
      <c r="A6" s="94"/>
      <c r="B6" s="709"/>
      <c r="C6" s="710"/>
      <c r="D6" s="710"/>
      <c r="E6" s="710"/>
      <c r="F6" s="94"/>
      <c r="G6" s="710"/>
      <c r="H6" s="94"/>
      <c r="I6" s="710"/>
      <c r="J6" s="94"/>
      <c r="K6" s="727" t="s">
        <v>751</v>
      </c>
      <c r="L6" s="710"/>
      <c r="M6" s="710"/>
      <c r="N6" s="710"/>
      <c r="O6" s="94"/>
      <c r="P6" s="94"/>
      <c r="Q6" s="94"/>
      <c r="R6" s="94"/>
      <c r="S6" s="94"/>
      <c r="T6" s="94"/>
      <c r="U6" s="94"/>
      <c r="V6" s="714"/>
      <c r="W6" s="728"/>
      <c r="X6" s="728"/>
      <c r="Y6" s="472" t="s">
        <v>752</v>
      </c>
      <c r="Z6" s="728"/>
      <c r="AA6" s="345"/>
    </row>
    <row r="7" spans="1:33" ht="12.75" customHeight="1">
      <c r="A7" s="94"/>
      <c r="B7" s="729"/>
      <c r="C7" s="730"/>
      <c r="D7" s="730"/>
      <c r="E7" s="730"/>
      <c r="F7" s="730"/>
      <c r="G7" s="730"/>
      <c r="H7" s="730"/>
      <c r="I7" s="730"/>
      <c r="J7" s="731"/>
      <c r="K7" s="730"/>
      <c r="L7" s="731"/>
      <c r="M7" s="730"/>
      <c r="N7" s="730"/>
      <c r="O7" s="730"/>
      <c r="P7" s="730"/>
      <c r="Q7" s="730"/>
      <c r="R7" s="730"/>
      <c r="S7" s="730"/>
      <c r="T7" s="731"/>
      <c r="U7" s="732"/>
      <c r="V7" s="733"/>
      <c r="W7" s="732"/>
      <c r="X7" s="732"/>
      <c r="Y7" s="732"/>
      <c r="Z7" s="732"/>
      <c r="AA7" s="734"/>
      <c r="AB7" s="735"/>
      <c r="AC7" s="735"/>
      <c r="AD7" s="735"/>
      <c r="AE7" s="735"/>
      <c r="AF7" s="735"/>
      <c r="AG7" s="735"/>
    </row>
    <row r="8" spans="1:33" ht="13.5" thickBot="1">
      <c r="A8" s="94"/>
      <c r="B8" s="736"/>
      <c r="C8" s="737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737"/>
      <c r="Q8" s="737"/>
      <c r="R8" s="737"/>
      <c r="S8" s="737"/>
      <c r="T8" s="738"/>
      <c r="U8" s="738"/>
      <c r="V8" s="739"/>
      <c r="W8" s="738"/>
      <c r="X8" s="738"/>
      <c r="Y8" s="738"/>
      <c r="Z8" s="738"/>
      <c r="AA8" s="740"/>
      <c r="AB8" s="735"/>
      <c r="AC8" s="735"/>
      <c r="AD8" s="735"/>
      <c r="AE8" s="735"/>
      <c r="AF8" s="735"/>
      <c r="AG8" s="735"/>
    </row>
    <row r="9" spans="1:33">
      <c r="A9" s="94"/>
      <c r="B9" s="741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444"/>
      <c r="V9" s="742"/>
      <c r="W9" s="742"/>
      <c r="X9" s="742"/>
      <c r="Y9" s="742" t="s">
        <v>642</v>
      </c>
      <c r="Z9" s="742"/>
      <c r="AA9" s="743"/>
      <c r="AB9" s="724"/>
      <c r="AC9" s="724"/>
      <c r="AD9" s="724"/>
      <c r="AE9" s="724"/>
      <c r="AF9" s="724"/>
      <c r="AG9" s="724"/>
    </row>
    <row r="10" spans="1:33">
      <c r="A10" s="94"/>
      <c r="B10" s="709"/>
      <c r="C10" s="724"/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449"/>
      <c r="V10" s="724"/>
      <c r="W10" s="724"/>
      <c r="X10" s="724"/>
      <c r="Y10" s="724"/>
      <c r="Z10" s="724"/>
      <c r="AA10" s="744"/>
      <c r="AB10" s="724"/>
      <c r="AC10" s="724"/>
      <c r="AD10" s="724"/>
      <c r="AE10" s="724"/>
      <c r="AF10" s="724"/>
      <c r="AG10" s="724"/>
    </row>
    <row r="11" spans="1:33" ht="15.75">
      <c r="A11" s="94"/>
      <c r="B11" s="709"/>
      <c r="C11" s="724"/>
      <c r="D11" s="745" t="s">
        <v>753</v>
      </c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7"/>
      <c r="U11" s="747"/>
      <c r="V11" s="748"/>
      <c r="W11" s="724"/>
      <c r="X11" s="724"/>
      <c r="Y11" s="724"/>
      <c r="Z11" s="724"/>
      <c r="AA11" s="744"/>
      <c r="AB11" s="724"/>
      <c r="AC11" s="724"/>
      <c r="AD11" s="724"/>
      <c r="AE11" s="724"/>
      <c r="AF11" s="724"/>
      <c r="AG11" s="724"/>
    </row>
    <row r="12" spans="1:33" ht="15.75">
      <c r="A12" s="94"/>
      <c r="B12" s="709"/>
      <c r="C12" s="724"/>
      <c r="D12" s="874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724"/>
      <c r="U12" s="724"/>
      <c r="V12" s="724"/>
      <c r="W12" s="724"/>
      <c r="X12" s="724"/>
      <c r="Y12" s="724"/>
      <c r="Z12" s="724"/>
      <c r="AA12" s="744"/>
      <c r="AB12" s="724"/>
      <c r="AC12" s="724"/>
      <c r="AD12" s="724"/>
      <c r="AE12" s="724"/>
      <c r="AF12" s="724"/>
      <c r="AG12" s="724"/>
    </row>
    <row r="13" spans="1:33" ht="15.75">
      <c r="A13" s="94"/>
      <c r="B13" s="709"/>
      <c r="C13" s="724"/>
      <c r="D13" s="874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724"/>
      <c r="U13" s="724"/>
      <c r="V13" s="724"/>
      <c r="W13" s="724"/>
      <c r="X13" s="724"/>
      <c r="Y13" s="724"/>
      <c r="Z13" s="724"/>
      <c r="AA13" s="744"/>
      <c r="AB13" s="724"/>
      <c r="AC13" s="724"/>
      <c r="AD13" s="724"/>
      <c r="AE13" s="724"/>
      <c r="AF13" s="724"/>
      <c r="AG13" s="724"/>
    </row>
    <row r="14" spans="1:33" ht="15.75">
      <c r="A14" s="94"/>
      <c r="B14" s="709"/>
      <c r="C14" s="724"/>
      <c r="D14" s="874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724"/>
      <c r="U14" s="724"/>
      <c r="V14" s="724"/>
      <c r="W14" s="724"/>
      <c r="X14" s="724"/>
      <c r="Y14" s="724"/>
      <c r="Z14" s="724"/>
      <c r="AA14" s="744"/>
      <c r="AB14" s="724"/>
      <c r="AC14" s="724"/>
      <c r="AD14" s="724"/>
      <c r="AE14" s="724"/>
      <c r="AF14" s="724"/>
      <c r="AG14" s="724"/>
    </row>
    <row r="15" spans="1:33" ht="15.75">
      <c r="A15" s="94"/>
      <c r="B15" s="709"/>
      <c r="C15" s="724"/>
      <c r="D15" s="874"/>
      <c r="E15" s="187"/>
      <c r="F15" s="187"/>
      <c r="G15" s="799" t="s">
        <v>854</v>
      </c>
      <c r="H15" s="187">
        <v>3</v>
      </c>
      <c r="I15" s="875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724"/>
      <c r="U15" s="724"/>
      <c r="V15" s="724"/>
      <c r="W15" s="724"/>
      <c r="X15" s="724"/>
      <c r="Y15" s="724"/>
      <c r="Z15" s="724"/>
      <c r="AA15" s="744"/>
      <c r="AB15" s="724"/>
      <c r="AC15" s="724"/>
      <c r="AD15" s="724"/>
      <c r="AE15" s="724"/>
      <c r="AF15" s="724"/>
      <c r="AG15" s="724"/>
    </row>
    <row r="16" spans="1:33" ht="15.75">
      <c r="B16" s="518"/>
      <c r="C16" s="94"/>
      <c r="D16" s="874"/>
      <c r="E16" s="187"/>
      <c r="F16" s="187"/>
      <c r="G16" s="799" t="s">
        <v>650</v>
      </c>
      <c r="H16" s="187">
        <v>30.1</v>
      </c>
      <c r="I16" s="881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724"/>
      <c r="U16" s="724"/>
      <c r="V16" s="724"/>
      <c r="W16" s="724"/>
      <c r="X16" s="94"/>
      <c r="Y16" s="94"/>
      <c r="Z16" s="94"/>
      <c r="AA16" s="345"/>
    </row>
    <row r="17" spans="2:27" ht="15.75">
      <c r="B17" s="518"/>
      <c r="C17" s="94"/>
      <c r="D17" s="874"/>
      <c r="E17" s="187"/>
      <c r="F17" s="187"/>
      <c r="G17" s="799" t="s">
        <v>529</v>
      </c>
      <c r="H17" s="187">
        <f>PI()*(H16/2000)^2*H15</f>
        <v>2.1347357700591662E-3</v>
      </c>
      <c r="I17" s="875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724"/>
      <c r="U17" s="724"/>
      <c r="V17" s="724"/>
      <c r="W17" s="724"/>
      <c r="X17" s="94"/>
      <c r="Y17" s="94"/>
      <c r="Z17" s="94"/>
      <c r="AA17" s="345"/>
    </row>
    <row r="18" spans="2:27" ht="15.75">
      <c r="B18" s="518"/>
      <c r="C18" s="94"/>
      <c r="D18" s="874"/>
      <c r="E18" s="187"/>
      <c r="F18" s="187"/>
      <c r="G18" s="187" t="s">
        <v>240</v>
      </c>
      <c r="H18" s="187">
        <v>25</v>
      </c>
      <c r="I18" s="87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724"/>
      <c r="U18" s="724"/>
      <c r="V18" s="724"/>
      <c r="W18" s="724"/>
      <c r="X18" s="94"/>
      <c r="Y18" s="94"/>
      <c r="Z18" s="94"/>
      <c r="AA18" s="345"/>
    </row>
    <row r="19" spans="2:27" ht="15.75">
      <c r="B19" s="518"/>
      <c r="C19" s="94"/>
      <c r="D19" s="874"/>
      <c r="E19" s="187"/>
      <c r="F19" s="187"/>
      <c r="G19" s="187"/>
      <c r="H19" s="187"/>
      <c r="I19" s="878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724"/>
      <c r="U19" s="724"/>
      <c r="V19" s="724"/>
      <c r="W19" s="724"/>
      <c r="X19" s="94"/>
      <c r="Y19" s="94"/>
      <c r="Z19" s="94"/>
      <c r="AA19" s="345"/>
    </row>
    <row r="20" spans="2:27" ht="15.75">
      <c r="B20" s="518"/>
      <c r="C20" s="94"/>
      <c r="D20" s="874"/>
      <c r="E20" s="187"/>
      <c r="F20" s="187"/>
      <c r="G20" s="187"/>
      <c r="H20" s="187"/>
      <c r="I20" s="876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724"/>
      <c r="U20" s="724"/>
      <c r="V20" s="724"/>
      <c r="W20" s="724"/>
      <c r="X20" s="94"/>
      <c r="Y20" s="94"/>
      <c r="Z20" s="94"/>
      <c r="AA20" s="345"/>
    </row>
    <row r="21" spans="2:27" ht="15.75">
      <c r="B21" s="518"/>
      <c r="C21" s="94"/>
      <c r="D21" s="874"/>
      <c r="E21" s="187"/>
      <c r="F21" s="187"/>
      <c r="G21" s="187"/>
      <c r="H21" s="187"/>
      <c r="I21" s="879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724"/>
      <c r="U21" s="724"/>
      <c r="V21" s="724"/>
      <c r="W21" s="724"/>
      <c r="X21" s="94"/>
      <c r="Y21" s="94"/>
      <c r="Z21" s="94"/>
      <c r="AA21" s="345"/>
    </row>
    <row r="22" spans="2:27" ht="15.75">
      <c r="B22" s="518"/>
      <c r="C22" s="94"/>
      <c r="D22" s="874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724"/>
      <c r="U22" s="724"/>
      <c r="V22" s="724"/>
      <c r="W22" s="724"/>
      <c r="X22" s="94"/>
      <c r="Y22" s="94"/>
      <c r="Z22" s="94"/>
      <c r="AA22" s="345"/>
    </row>
    <row r="23" spans="2:27" ht="15.75">
      <c r="B23" s="518"/>
      <c r="C23" s="94"/>
      <c r="D23" s="874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724"/>
      <c r="U23" s="724"/>
      <c r="V23" s="724"/>
      <c r="W23" s="724"/>
      <c r="X23" s="94"/>
      <c r="Y23" s="94"/>
      <c r="Z23" s="94"/>
      <c r="AA23" s="345"/>
    </row>
    <row r="24" spans="2:27" ht="15.75">
      <c r="B24" s="518"/>
      <c r="C24" s="94"/>
      <c r="D24" s="874"/>
      <c r="E24" s="187"/>
      <c r="F24" s="187"/>
      <c r="G24" s="187"/>
      <c r="H24" s="187"/>
      <c r="I24" s="880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724"/>
      <c r="U24" s="724"/>
      <c r="V24" s="724"/>
      <c r="W24" s="724"/>
      <c r="X24" s="94"/>
      <c r="Y24" s="94"/>
      <c r="Z24" s="94"/>
      <c r="AA24" s="345"/>
    </row>
    <row r="25" spans="2:27" ht="15.75">
      <c r="B25" s="518"/>
      <c r="C25" s="94"/>
      <c r="D25" s="874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724"/>
      <c r="U25" s="724"/>
      <c r="V25" s="724"/>
      <c r="W25" s="724"/>
      <c r="X25" s="94"/>
      <c r="Y25" s="94"/>
      <c r="Z25" s="94"/>
      <c r="AA25" s="345"/>
    </row>
    <row r="26" spans="2:27" ht="15.75">
      <c r="B26" s="518"/>
      <c r="C26" s="94"/>
      <c r="D26" s="874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724"/>
      <c r="U26" s="724"/>
      <c r="V26" s="724"/>
      <c r="W26" s="724"/>
      <c r="X26" s="94"/>
      <c r="Y26" s="94"/>
      <c r="Z26" s="94"/>
      <c r="AA26" s="345"/>
    </row>
    <row r="27" spans="2:27" ht="15.75">
      <c r="B27" s="518"/>
      <c r="C27" s="94"/>
      <c r="D27" s="874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724"/>
      <c r="U27" s="724"/>
      <c r="V27" s="724"/>
      <c r="W27" s="724"/>
      <c r="X27" s="94"/>
      <c r="Y27" s="94"/>
      <c r="Z27" s="94"/>
      <c r="AA27" s="345"/>
    </row>
    <row r="28" spans="2:27" ht="15.75">
      <c r="B28" s="518"/>
      <c r="C28" s="94"/>
      <c r="D28" s="874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724"/>
      <c r="U28" s="724"/>
      <c r="V28" s="724"/>
      <c r="W28" s="724"/>
      <c r="X28" s="94"/>
      <c r="Y28" s="94"/>
      <c r="Z28" s="94"/>
      <c r="AA28" s="345"/>
    </row>
    <row r="29" spans="2:27" ht="15.75">
      <c r="B29" s="518"/>
      <c r="C29" s="94"/>
      <c r="D29" s="874"/>
      <c r="E29" s="187"/>
      <c r="F29" s="187"/>
      <c r="G29" s="187"/>
      <c r="H29" s="187"/>
      <c r="I29" s="187"/>
      <c r="J29" s="187"/>
      <c r="K29" s="187"/>
      <c r="L29" s="187"/>
      <c r="M29" s="187">
        <f>500*3.6</f>
        <v>1800</v>
      </c>
      <c r="N29" s="187"/>
      <c r="O29" s="187"/>
      <c r="P29" s="187"/>
      <c r="Q29" s="187"/>
      <c r="R29" s="187"/>
      <c r="S29" s="187"/>
      <c r="T29" s="724"/>
      <c r="U29" s="724"/>
      <c r="V29" s="724"/>
      <c r="W29" s="724"/>
      <c r="X29" s="94"/>
      <c r="Y29" s="94"/>
      <c r="Z29" s="94"/>
      <c r="AA29" s="345"/>
    </row>
    <row r="30" spans="2:27" ht="15.75">
      <c r="B30" s="518"/>
      <c r="C30" s="94"/>
      <c r="D30" s="874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724"/>
      <c r="U30" s="724"/>
      <c r="V30" s="724"/>
      <c r="W30" s="724"/>
      <c r="X30" s="94"/>
      <c r="Y30" s="94"/>
      <c r="Z30" s="94"/>
      <c r="AA30" s="345"/>
    </row>
    <row r="31" spans="2:27" ht="15.75">
      <c r="B31" s="518"/>
      <c r="C31" s="94"/>
      <c r="D31" s="874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724"/>
      <c r="U31" s="724"/>
      <c r="V31" s="724"/>
      <c r="W31" s="724"/>
      <c r="X31" s="94"/>
      <c r="Y31" s="94"/>
      <c r="Z31" s="94"/>
      <c r="AA31" s="345"/>
    </row>
    <row r="32" spans="2:27" ht="15.75">
      <c r="B32" s="518"/>
      <c r="C32" s="94"/>
      <c r="D32" s="874"/>
      <c r="E32" s="187"/>
      <c r="F32" s="882"/>
      <c r="G32" s="820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724"/>
      <c r="U32" s="724"/>
      <c r="V32" s="724"/>
      <c r="W32" s="724"/>
      <c r="X32" s="94"/>
      <c r="Y32" s="94"/>
      <c r="Z32" s="94"/>
      <c r="AA32" s="345"/>
    </row>
    <row r="33" spans="2:27" ht="15.75">
      <c r="B33" s="518"/>
      <c r="C33" s="94"/>
      <c r="D33" s="874"/>
      <c r="E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724"/>
      <c r="U33" s="724"/>
      <c r="V33" s="724"/>
      <c r="W33" s="724"/>
      <c r="X33" s="94"/>
      <c r="Y33" s="94"/>
      <c r="Z33" s="94"/>
      <c r="AA33" s="345"/>
    </row>
    <row r="34" spans="2:27" ht="15.75">
      <c r="B34" s="518"/>
      <c r="C34" s="94"/>
      <c r="D34" s="874"/>
      <c r="E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724"/>
      <c r="U34" s="724"/>
      <c r="V34" s="724"/>
      <c r="W34" s="724"/>
      <c r="X34" s="94"/>
      <c r="Y34" s="94"/>
      <c r="Z34" s="94"/>
      <c r="AA34" s="345"/>
    </row>
    <row r="35" spans="2:27" ht="15.75">
      <c r="B35" s="518"/>
      <c r="C35" s="94"/>
      <c r="D35" s="874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724"/>
      <c r="U35" s="724"/>
      <c r="V35" s="724"/>
      <c r="W35" s="724"/>
      <c r="X35" s="94"/>
      <c r="Y35" s="94"/>
      <c r="Z35" s="94"/>
      <c r="AA35" s="345"/>
    </row>
    <row r="36" spans="2:27" ht="15.75">
      <c r="B36" s="518"/>
      <c r="C36" s="94"/>
      <c r="D36" s="874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724"/>
      <c r="U36" s="724"/>
      <c r="V36" s="724"/>
      <c r="W36" s="724"/>
      <c r="X36" s="94"/>
      <c r="Y36" s="94"/>
      <c r="Z36" s="94"/>
      <c r="AA36" s="345"/>
    </row>
    <row r="37" spans="2:27" ht="15.75">
      <c r="B37" s="518"/>
      <c r="C37" s="94"/>
      <c r="D37" s="874"/>
      <c r="E37" s="187"/>
      <c r="N37" s="187"/>
      <c r="O37" s="187"/>
      <c r="P37" s="187"/>
      <c r="Q37" s="187"/>
      <c r="R37" s="187"/>
      <c r="S37" s="187"/>
      <c r="T37" s="724"/>
      <c r="U37" s="724"/>
      <c r="V37" s="724"/>
      <c r="W37" s="724"/>
      <c r="X37" s="94"/>
      <c r="Y37" s="94"/>
      <c r="Z37" s="94"/>
      <c r="AA37" s="345"/>
    </row>
    <row r="38" spans="2:27" ht="15.75">
      <c r="B38" s="518"/>
      <c r="C38" s="94"/>
      <c r="D38" s="874"/>
      <c r="E38" s="187"/>
      <c r="N38" s="187"/>
      <c r="O38" s="187"/>
      <c r="P38" s="187"/>
      <c r="Q38" s="187"/>
      <c r="R38" s="187"/>
      <c r="S38" s="187"/>
      <c r="T38" s="724"/>
      <c r="U38" s="724"/>
      <c r="V38" s="724"/>
      <c r="W38" s="724"/>
      <c r="X38" s="94"/>
      <c r="Y38" s="94"/>
      <c r="Z38" s="94"/>
      <c r="AA38" s="345"/>
    </row>
    <row r="39" spans="2:27" ht="15.75">
      <c r="B39" s="518"/>
      <c r="C39" s="94"/>
      <c r="D39" s="874"/>
      <c r="E39" s="187"/>
      <c r="F39" s="187"/>
      <c r="G39" s="187"/>
      <c r="H39" s="464"/>
      <c r="I39" s="464"/>
      <c r="J39" s="464"/>
      <c r="K39" s="464"/>
      <c r="L39" s="464"/>
      <c r="M39" s="464"/>
      <c r="N39" s="464"/>
      <c r="O39" s="187"/>
      <c r="P39" s="187"/>
      <c r="Q39" s="187"/>
      <c r="R39" s="187"/>
      <c r="S39" s="187"/>
      <c r="T39" s="724"/>
      <c r="U39" s="724"/>
      <c r="V39" s="724"/>
      <c r="W39" s="724"/>
      <c r="X39" s="94"/>
      <c r="Y39" s="94"/>
      <c r="Z39" s="94"/>
      <c r="AA39" s="345"/>
    </row>
    <row r="40" spans="2:27" ht="15.75">
      <c r="B40" s="518"/>
      <c r="C40" s="94"/>
      <c r="D40" s="874"/>
      <c r="E40" s="187"/>
      <c r="F40" s="187"/>
      <c r="G40" s="187"/>
      <c r="H40" s="464"/>
      <c r="I40" s="883"/>
      <c r="J40" s="883"/>
      <c r="K40" s="883"/>
      <c r="L40" s="883"/>
      <c r="M40" s="883"/>
      <c r="N40" s="883"/>
      <c r="O40" s="187"/>
      <c r="P40" s="187"/>
      <c r="Q40" s="187"/>
      <c r="R40" s="187"/>
      <c r="S40" s="187"/>
      <c r="T40" s="724"/>
      <c r="U40" s="724"/>
      <c r="V40" s="724"/>
      <c r="W40" s="724"/>
      <c r="X40" s="94"/>
      <c r="Y40" s="94"/>
      <c r="Z40" s="94"/>
      <c r="AA40" s="345"/>
    </row>
    <row r="41" spans="2:27" ht="15.75">
      <c r="B41" s="518"/>
      <c r="C41" s="94"/>
      <c r="D41" s="874"/>
      <c r="E41" s="187"/>
      <c r="F41" s="187"/>
      <c r="G41" s="187"/>
      <c r="H41" s="464"/>
      <c r="I41" s="464"/>
      <c r="J41" s="464"/>
      <c r="K41" s="464"/>
      <c r="L41" s="464"/>
      <c r="M41" s="464"/>
      <c r="N41" s="187"/>
      <c r="O41" s="187"/>
      <c r="P41" s="187"/>
      <c r="Q41" s="187"/>
      <c r="R41" s="187"/>
      <c r="S41" s="187"/>
      <c r="T41" s="724"/>
      <c r="U41" s="724"/>
      <c r="V41" s="724"/>
      <c r="W41" s="724"/>
      <c r="X41" s="94"/>
      <c r="Y41" s="94"/>
      <c r="Z41" s="94"/>
      <c r="AA41" s="345"/>
    </row>
    <row r="42" spans="2:27" ht="15.75">
      <c r="B42" s="518"/>
      <c r="C42" s="94"/>
      <c r="D42" s="874"/>
      <c r="E42" s="187"/>
      <c r="F42" s="187"/>
      <c r="G42" s="187"/>
      <c r="H42" s="464"/>
      <c r="I42" s="464"/>
      <c r="J42" s="464"/>
      <c r="K42" s="464"/>
      <c r="L42" s="464"/>
      <c r="M42" s="464"/>
      <c r="N42" s="187"/>
      <c r="O42" s="187"/>
      <c r="P42" s="187"/>
      <c r="Q42" s="187"/>
      <c r="R42" s="187"/>
      <c r="S42" s="187"/>
      <c r="T42" s="724"/>
      <c r="U42" s="724"/>
      <c r="V42" s="724"/>
      <c r="W42" s="724"/>
      <c r="X42" s="94"/>
      <c r="Y42" s="94"/>
      <c r="Z42" s="94"/>
      <c r="AA42" s="345"/>
    </row>
    <row r="43" spans="2:27" ht="15.75">
      <c r="B43" s="518"/>
      <c r="C43" s="94"/>
      <c r="D43" s="874"/>
      <c r="E43" s="187"/>
      <c r="F43" s="187"/>
      <c r="G43" s="187"/>
      <c r="H43" s="464"/>
      <c r="I43" s="464"/>
      <c r="J43" s="464"/>
      <c r="K43" s="464"/>
      <c r="L43" s="464"/>
      <c r="M43" s="464"/>
      <c r="N43" s="187"/>
      <c r="O43" s="187"/>
      <c r="P43" s="187"/>
      <c r="Q43" s="187"/>
      <c r="R43" s="187"/>
      <c r="S43" s="187"/>
      <c r="T43" s="724"/>
      <c r="U43" s="724"/>
      <c r="V43" s="724"/>
      <c r="W43" s="724"/>
      <c r="X43" s="94"/>
      <c r="Y43" s="94"/>
      <c r="Z43" s="94"/>
      <c r="AA43" s="345"/>
    </row>
    <row r="44" spans="2:27" ht="15.75">
      <c r="B44" s="518"/>
      <c r="C44" s="94"/>
      <c r="D44" s="874"/>
      <c r="E44" s="187"/>
      <c r="F44" s="187"/>
      <c r="G44" s="187"/>
      <c r="H44" s="464"/>
      <c r="I44" s="464"/>
      <c r="J44" s="464"/>
      <c r="K44" s="464"/>
      <c r="L44" s="464"/>
      <c r="M44" s="464"/>
      <c r="N44" s="187"/>
      <c r="O44" s="187"/>
      <c r="P44" s="187"/>
      <c r="Q44" s="187"/>
      <c r="R44" s="187"/>
      <c r="S44" s="187"/>
      <c r="T44" s="724"/>
      <c r="U44" s="724"/>
      <c r="V44" s="724"/>
      <c r="W44" s="724"/>
      <c r="X44" s="94"/>
      <c r="Y44" s="94"/>
      <c r="Z44" s="94"/>
      <c r="AA44" s="345"/>
    </row>
    <row r="45" spans="2:27" ht="15.75">
      <c r="B45" s="518"/>
      <c r="C45" s="94"/>
      <c r="D45" s="874"/>
      <c r="E45" s="187"/>
      <c r="F45" s="187"/>
      <c r="G45" s="187"/>
      <c r="H45" s="464"/>
      <c r="I45" s="464"/>
      <c r="J45" s="464"/>
      <c r="K45" s="464"/>
      <c r="L45" s="464"/>
      <c r="M45" s="464"/>
      <c r="N45" s="187"/>
      <c r="O45" s="187"/>
      <c r="P45" s="187"/>
      <c r="Q45" s="187"/>
      <c r="R45" s="187"/>
      <c r="S45" s="187"/>
      <c r="T45" s="724"/>
      <c r="U45" s="724"/>
      <c r="V45" s="724"/>
      <c r="W45" s="724"/>
      <c r="X45" s="94"/>
      <c r="Y45" s="94"/>
      <c r="Z45" s="94"/>
      <c r="AA45" s="345"/>
    </row>
    <row r="46" spans="2:27" ht="15.75">
      <c r="B46" s="518"/>
      <c r="C46" s="94"/>
      <c r="D46" s="874"/>
      <c r="E46" s="187"/>
      <c r="F46" s="187"/>
      <c r="G46" s="187"/>
      <c r="H46" s="464"/>
      <c r="I46" s="464"/>
      <c r="J46" s="464"/>
      <c r="K46" s="464"/>
      <c r="L46" s="464"/>
      <c r="M46" s="464"/>
      <c r="N46" s="187"/>
      <c r="O46" s="187"/>
      <c r="P46" s="187"/>
      <c r="Q46" s="187"/>
      <c r="R46" s="187"/>
      <c r="S46" s="187"/>
      <c r="T46" s="724"/>
      <c r="U46" s="724"/>
      <c r="V46" s="724"/>
      <c r="W46" s="724"/>
      <c r="X46" s="94"/>
      <c r="Y46" s="94"/>
      <c r="Z46" s="94"/>
      <c r="AA46" s="345"/>
    </row>
    <row r="47" spans="2:27" ht="15.75">
      <c r="B47" s="518"/>
      <c r="C47" s="94"/>
      <c r="D47" s="874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724"/>
      <c r="U47" s="724"/>
      <c r="V47" s="724"/>
      <c r="W47" s="724"/>
      <c r="X47" s="94"/>
      <c r="Y47" s="94"/>
      <c r="Z47" s="94"/>
      <c r="AA47" s="345"/>
    </row>
    <row r="48" spans="2:27" ht="15.75">
      <c r="B48" s="518"/>
      <c r="C48" s="94"/>
      <c r="D48" s="874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724"/>
      <c r="U48" s="724"/>
      <c r="V48" s="724"/>
      <c r="W48" s="724"/>
      <c r="X48" s="94"/>
      <c r="Y48" s="94"/>
      <c r="Z48" s="94"/>
      <c r="AA48" s="345"/>
    </row>
    <row r="49" spans="2:27" ht="15.75">
      <c r="B49" s="518"/>
      <c r="C49" s="94"/>
      <c r="D49" s="874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724"/>
      <c r="U49" s="724"/>
      <c r="V49" s="724"/>
      <c r="W49" s="724"/>
      <c r="X49" s="94"/>
      <c r="Y49" s="94"/>
      <c r="Z49" s="94"/>
      <c r="AA49" s="345"/>
    </row>
    <row r="50" spans="2:27" ht="15.75">
      <c r="B50" s="518"/>
      <c r="C50" s="94"/>
      <c r="D50" s="874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724"/>
      <c r="U50" s="724"/>
      <c r="V50" s="724"/>
      <c r="W50" s="724"/>
      <c r="X50" s="94"/>
      <c r="Y50" s="94"/>
      <c r="Z50" s="94"/>
      <c r="AA50" s="345"/>
    </row>
    <row r="51" spans="2:27" ht="15.75">
      <c r="B51" s="518"/>
      <c r="C51" s="94"/>
      <c r="D51" s="874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724"/>
      <c r="U51" s="724"/>
      <c r="V51" s="724"/>
      <c r="W51" s="724"/>
      <c r="X51" s="94"/>
      <c r="Y51" s="94"/>
      <c r="Z51" s="94"/>
      <c r="AA51" s="345"/>
    </row>
    <row r="52" spans="2:27" ht="15.75">
      <c r="B52" s="518"/>
      <c r="C52" s="94"/>
      <c r="D52" s="874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724"/>
      <c r="U52" s="724"/>
      <c r="V52" s="724"/>
      <c r="W52" s="724"/>
      <c r="X52" s="94"/>
      <c r="Y52" s="94"/>
      <c r="Z52" s="94"/>
      <c r="AA52" s="345"/>
    </row>
    <row r="53" spans="2:27" ht="15.75">
      <c r="B53" s="518"/>
      <c r="C53" s="94"/>
      <c r="D53" s="874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724"/>
      <c r="U53" s="724"/>
      <c r="V53" s="724"/>
      <c r="W53" s="724"/>
      <c r="X53" s="94"/>
      <c r="Y53" s="94"/>
      <c r="Z53" s="94"/>
      <c r="AA53" s="345"/>
    </row>
    <row r="54" spans="2:27" ht="15.75">
      <c r="B54" s="518"/>
      <c r="C54" s="94"/>
      <c r="D54" s="874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724"/>
      <c r="U54" s="724"/>
      <c r="V54" s="724"/>
      <c r="W54" s="724"/>
      <c r="X54" s="94"/>
      <c r="Y54" s="94"/>
      <c r="Z54" s="94"/>
      <c r="AA54" s="345"/>
    </row>
    <row r="55" spans="2:27" ht="15.75">
      <c r="B55" s="518"/>
      <c r="C55" s="94"/>
      <c r="D55" s="874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724"/>
      <c r="U55" s="724"/>
      <c r="V55" s="724"/>
      <c r="W55" s="724"/>
      <c r="X55" s="94"/>
      <c r="Y55" s="94"/>
      <c r="Z55" s="94"/>
      <c r="AA55" s="345"/>
    </row>
    <row r="56" spans="2:27" ht="15.75">
      <c r="B56" s="518"/>
      <c r="C56" s="94"/>
      <c r="D56" s="874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724"/>
      <c r="U56" s="724"/>
      <c r="V56" s="724"/>
      <c r="W56" s="724"/>
      <c r="X56" s="94"/>
      <c r="Y56" s="94"/>
      <c r="Z56" s="94"/>
      <c r="AA56" s="345"/>
    </row>
    <row r="57" spans="2:27" ht="15.75">
      <c r="B57" s="518"/>
      <c r="C57" s="94"/>
      <c r="D57" s="874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724"/>
      <c r="U57" s="724"/>
      <c r="V57" s="724"/>
      <c r="W57" s="724"/>
      <c r="X57" s="94"/>
      <c r="Y57" s="94"/>
      <c r="Z57" s="94"/>
      <c r="AA57" s="345"/>
    </row>
    <row r="58" spans="2:27" ht="15.75">
      <c r="B58" s="518"/>
      <c r="C58" s="94"/>
      <c r="D58" s="874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724"/>
      <c r="U58" s="724"/>
      <c r="V58" s="724"/>
      <c r="W58" s="724"/>
      <c r="X58" s="94"/>
      <c r="Y58" s="94"/>
      <c r="Z58" s="94"/>
      <c r="AA58" s="345"/>
    </row>
    <row r="59" spans="2:27" ht="15.75">
      <c r="B59" s="518"/>
      <c r="C59" s="94"/>
      <c r="D59" s="874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724"/>
      <c r="U59" s="724"/>
      <c r="V59" s="724"/>
      <c r="W59" s="724"/>
      <c r="X59" s="94"/>
      <c r="Y59" s="94"/>
      <c r="Z59" s="94"/>
      <c r="AA59" s="345"/>
    </row>
    <row r="60" spans="2:27" ht="15.75">
      <c r="B60" s="518"/>
      <c r="C60" s="94"/>
      <c r="D60" s="874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724"/>
      <c r="U60" s="724"/>
      <c r="V60" s="724"/>
      <c r="W60" s="724"/>
      <c r="X60" s="94"/>
      <c r="Y60" s="94"/>
      <c r="Z60" s="94"/>
      <c r="AA60" s="345"/>
    </row>
    <row r="61" spans="2:27" ht="15.75">
      <c r="B61" s="518"/>
      <c r="C61" s="94"/>
      <c r="D61" s="874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724"/>
      <c r="U61" s="724"/>
      <c r="V61" s="724"/>
      <c r="W61" s="724"/>
      <c r="X61" s="94"/>
      <c r="Y61" s="94"/>
      <c r="Z61" s="94"/>
      <c r="AA61" s="345"/>
    </row>
    <row r="62" spans="2:27" ht="15.75">
      <c r="B62" s="518"/>
      <c r="C62" s="94"/>
      <c r="D62" s="874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724"/>
      <c r="U62" s="724"/>
      <c r="V62" s="724"/>
      <c r="W62" s="724"/>
      <c r="X62" s="94"/>
      <c r="Y62" s="94"/>
      <c r="Z62" s="94"/>
      <c r="AA62" s="345"/>
    </row>
    <row r="63" spans="2:27" ht="15.75">
      <c r="B63" s="518"/>
      <c r="C63" s="94"/>
      <c r="D63" s="874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724"/>
      <c r="U63" s="724"/>
      <c r="V63" s="724"/>
      <c r="W63" s="724"/>
      <c r="X63" s="94"/>
      <c r="Y63" s="94"/>
      <c r="Z63" s="94"/>
      <c r="AA63" s="345"/>
    </row>
    <row r="64" spans="2:27" ht="15.75">
      <c r="B64" s="518"/>
      <c r="C64" s="94"/>
      <c r="D64" s="874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724"/>
      <c r="U64" s="724"/>
      <c r="V64" s="724"/>
      <c r="W64" s="724"/>
      <c r="X64" s="94"/>
      <c r="Y64" s="94"/>
      <c r="Z64" s="94"/>
      <c r="AA64" s="345"/>
    </row>
    <row r="65" spans="2:27" ht="15.75">
      <c r="B65" s="518"/>
      <c r="C65" s="94"/>
      <c r="D65" s="874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724"/>
      <c r="U65" s="724"/>
      <c r="V65" s="724"/>
      <c r="W65" s="724"/>
      <c r="X65" s="94"/>
      <c r="Y65" s="94"/>
      <c r="Z65" s="94"/>
      <c r="AA65" s="345"/>
    </row>
    <row r="66" spans="2:27" ht="15.75">
      <c r="B66" s="518"/>
      <c r="C66" s="94"/>
      <c r="D66" s="874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724"/>
      <c r="U66" s="724"/>
      <c r="V66" s="724"/>
      <c r="W66" s="724"/>
      <c r="X66" s="94"/>
      <c r="Y66" s="94"/>
      <c r="Z66" s="94"/>
      <c r="AA66" s="345"/>
    </row>
    <row r="67" spans="2:27" ht="15.75">
      <c r="B67" s="518"/>
      <c r="C67" s="94"/>
      <c r="D67" s="874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724"/>
      <c r="U67" s="724"/>
      <c r="V67" s="724"/>
      <c r="W67" s="724"/>
      <c r="X67" s="94"/>
      <c r="Y67" s="94"/>
      <c r="Z67" s="94"/>
      <c r="AA67" s="345"/>
    </row>
    <row r="68" spans="2:27" ht="15.75">
      <c r="B68" s="518"/>
      <c r="C68" s="94"/>
      <c r="D68" s="874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724"/>
      <c r="U68" s="724"/>
      <c r="V68" s="724"/>
      <c r="W68" s="724"/>
      <c r="X68" s="94"/>
      <c r="Y68" s="94"/>
      <c r="Z68" s="94"/>
      <c r="AA68" s="345"/>
    </row>
    <row r="69" spans="2:27" ht="15.75">
      <c r="B69" s="518"/>
      <c r="C69" s="94"/>
      <c r="D69" s="874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724"/>
      <c r="U69" s="724"/>
      <c r="V69" s="724"/>
      <c r="W69" s="724"/>
      <c r="X69" s="94"/>
      <c r="Y69" s="94"/>
      <c r="Z69" s="94"/>
      <c r="AA69" s="345"/>
    </row>
    <row r="70" spans="2:27" ht="15.75">
      <c r="B70" s="518"/>
      <c r="C70" s="94"/>
      <c r="D70" s="874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724"/>
      <c r="U70" s="724"/>
      <c r="V70" s="724"/>
      <c r="W70" s="724"/>
      <c r="X70" s="94"/>
      <c r="Y70" s="94"/>
      <c r="Z70" s="94"/>
      <c r="AA70" s="345"/>
    </row>
    <row r="71" spans="2:27" ht="15.75">
      <c r="B71" s="518"/>
      <c r="C71" s="94"/>
      <c r="D71" s="874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724"/>
      <c r="U71" s="724"/>
      <c r="V71" s="724"/>
      <c r="W71" s="724"/>
      <c r="X71" s="94"/>
      <c r="Y71" s="94"/>
      <c r="Z71" s="94"/>
      <c r="AA71" s="345"/>
    </row>
    <row r="72" spans="2:27" ht="15.75">
      <c r="B72" s="518"/>
      <c r="C72" s="94"/>
      <c r="D72" s="874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724"/>
      <c r="U72" s="724"/>
      <c r="V72" s="724"/>
      <c r="W72" s="724"/>
      <c r="X72" s="94"/>
      <c r="Y72" s="94"/>
      <c r="Z72" s="94"/>
      <c r="AA72" s="345"/>
    </row>
    <row r="73" spans="2:27" ht="15.75">
      <c r="B73" s="518"/>
      <c r="C73" s="94"/>
      <c r="D73" s="874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724"/>
      <c r="U73" s="724"/>
      <c r="V73" s="724"/>
      <c r="W73" s="724"/>
      <c r="X73" s="94"/>
      <c r="Y73" s="94"/>
      <c r="Z73" s="94"/>
      <c r="AA73" s="345"/>
    </row>
    <row r="74" spans="2:27" ht="15.75">
      <c r="B74" s="518"/>
      <c r="C74" s="94"/>
      <c r="D74" s="874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724"/>
      <c r="U74" s="724"/>
      <c r="V74" s="724"/>
      <c r="W74" s="724"/>
      <c r="X74" s="94"/>
      <c r="Y74" s="94"/>
      <c r="Z74" s="94"/>
      <c r="AA74" s="345"/>
    </row>
    <row r="75" spans="2:27" ht="15.75">
      <c r="B75" s="518"/>
      <c r="C75" s="94"/>
      <c r="D75" s="874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724"/>
      <c r="U75" s="724"/>
      <c r="V75" s="724"/>
      <c r="W75" s="724"/>
      <c r="X75" s="94"/>
      <c r="Y75" s="94"/>
      <c r="Z75" s="94"/>
      <c r="AA75" s="345"/>
    </row>
    <row r="76" spans="2:27" ht="15.75">
      <c r="B76" s="518"/>
      <c r="C76" s="94"/>
      <c r="D76" s="874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724"/>
      <c r="U76" s="724"/>
      <c r="V76" s="724"/>
      <c r="W76" s="724"/>
      <c r="X76" s="94"/>
      <c r="Y76" s="94"/>
      <c r="Z76" s="94"/>
      <c r="AA76" s="345"/>
    </row>
    <row r="77" spans="2:27" ht="15.75">
      <c r="B77" s="518"/>
      <c r="C77" s="94"/>
      <c r="D77" s="874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724"/>
      <c r="U77" s="724"/>
      <c r="V77" s="724"/>
      <c r="W77" s="724"/>
      <c r="X77" s="94"/>
      <c r="Y77" s="94"/>
      <c r="Z77" s="94"/>
      <c r="AA77" s="345"/>
    </row>
    <row r="78" spans="2:27" ht="15.75">
      <c r="B78" s="518"/>
      <c r="C78" s="94"/>
      <c r="D78" s="874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724"/>
      <c r="U78" s="724"/>
      <c r="V78" s="724"/>
      <c r="W78" s="724"/>
      <c r="X78" s="94"/>
      <c r="Y78" s="94"/>
      <c r="Z78" s="94"/>
      <c r="AA78" s="345"/>
    </row>
    <row r="79" spans="2:27" ht="15.75">
      <c r="B79" s="518"/>
      <c r="C79" s="94"/>
      <c r="D79" s="874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724"/>
      <c r="U79" s="724"/>
      <c r="V79" s="724"/>
      <c r="W79" s="724"/>
      <c r="X79" s="94"/>
      <c r="Y79" s="94"/>
      <c r="Z79" s="94"/>
      <c r="AA79" s="345"/>
    </row>
    <row r="80" spans="2:27" ht="15.75">
      <c r="B80" s="518"/>
      <c r="C80" s="94"/>
      <c r="D80" s="874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724"/>
      <c r="U80" s="724"/>
      <c r="V80" s="724"/>
      <c r="W80" s="724"/>
      <c r="X80" s="94"/>
      <c r="Y80" s="94"/>
      <c r="Z80" s="94"/>
      <c r="AA80" s="345"/>
    </row>
    <row r="81" spans="1:27" ht="15.75">
      <c r="B81" s="518"/>
      <c r="C81" s="94"/>
      <c r="D81" s="874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724"/>
      <c r="U81" s="724"/>
      <c r="V81" s="724"/>
      <c r="W81" s="724"/>
      <c r="X81" s="94"/>
      <c r="Y81" s="94"/>
      <c r="Z81" s="94"/>
      <c r="AA81" s="345"/>
    </row>
    <row r="82" spans="1:27" ht="15.75">
      <c r="B82" s="518"/>
      <c r="C82" s="94"/>
      <c r="D82" s="874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724"/>
      <c r="U82" s="724"/>
      <c r="V82" s="724"/>
      <c r="W82" s="724"/>
      <c r="X82" s="94"/>
      <c r="Y82" s="94"/>
      <c r="Z82" s="94"/>
      <c r="AA82" s="345"/>
    </row>
    <row r="83" spans="1:27" ht="15.75">
      <c r="B83" s="518"/>
      <c r="C83" s="94"/>
      <c r="D83" s="874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724"/>
      <c r="U83" s="724"/>
      <c r="V83" s="724"/>
      <c r="W83" s="724"/>
      <c r="X83" s="94"/>
      <c r="Y83" s="94"/>
      <c r="Z83" s="94"/>
      <c r="AA83" s="345"/>
    </row>
    <row r="84" spans="1:27" ht="15.75">
      <c r="B84" s="518"/>
      <c r="C84" s="94"/>
      <c r="D84" s="874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724"/>
      <c r="U84" s="724"/>
      <c r="V84" s="724"/>
      <c r="W84" s="724"/>
      <c r="X84" s="94"/>
      <c r="Y84" s="94"/>
      <c r="Z84" s="94"/>
      <c r="AA84" s="345"/>
    </row>
    <row r="85" spans="1:27" ht="15.75">
      <c r="B85" s="518"/>
      <c r="C85" s="94"/>
      <c r="D85" s="874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724"/>
      <c r="U85" s="724"/>
      <c r="V85" s="724"/>
      <c r="W85" s="724"/>
      <c r="X85" s="94"/>
      <c r="Y85" s="94"/>
      <c r="Z85" s="94"/>
      <c r="AA85" s="345"/>
    </row>
    <row r="86" spans="1:27" ht="15.75">
      <c r="B86" s="518"/>
      <c r="C86" s="94"/>
      <c r="D86" s="874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724"/>
      <c r="U86" s="724"/>
      <c r="V86" s="724"/>
      <c r="W86" s="724"/>
      <c r="X86" s="94"/>
      <c r="Y86" s="94"/>
      <c r="Z86" s="94"/>
      <c r="AA86" s="345"/>
    </row>
    <row r="87" spans="1:27" ht="15.75">
      <c r="B87" s="518"/>
      <c r="C87" s="94"/>
      <c r="D87" s="874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724"/>
      <c r="U87" s="724"/>
      <c r="V87" s="724"/>
      <c r="W87" s="724"/>
      <c r="X87" s="94"/>
      <c r="Y87" s="94"/>
      <c r="Z87" s="94"/>
      <c r="AA87" s="345"/>
    </row>
    <row r="88" spans="1:27" ht="15.75">
      <c r="B88" s="518"/>
      <c r="C88" s="94"/>
      <c r="D88" s="874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724"/>
      <c r="U88" s="724"/>
      <c r="V88" s="724"/>
      <c r="W88" s="724"/>
      <c r="X88" s="94"/>
      <c r="Y88" s="94"/>
      <c r="Z88" s="94"/>
      <c r="AA88" s="345"/>
    </row>
    <row r="89" spans="1:27" ht="11.25" customHeight="1">
      <c r="B89" s="518"/>
      <c r="C89" s="94"/>
      <c r="D89" s="874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724"/>
      <c r="U89" s="724"/>
      <c r="V89" s="724"/>
      <c r="W89" s="724"/>
      <c r="X89" s="94"/>
      <c r="Y89" s="94"/>
      <c r="Z89" s="94"/>
      <c r="AA89" s="345"/>
    </row>
    <row r="90" spans="1:27" ht="15.75">
      <c r="B90" s="518"/>
      <c r="C90" s="94"/>
      <c r="D90" s="874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724"/>
      <c r="U90" s="724"/>
      <c r="V90" s="724"/>
      <c r="W90" s="724"/>
      <c r="X90" s="94"/>
      <c r="Y90" s="94"/>
      <c r="Z90" s="94"/>
      <c r="AA90" s="345"/>
    </row>
    <row r="91" spans="1:27" ht="15.75">
      <c r="B91" s="518"/>
      <c r="C91" s="94"/>
      <c r="D91" s="874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724"/>
      <c r="U91" s="724"/>
      <c r="V91" s="724"/>
      <c r="W91" s="724"/>
      <c r="X91" s="94"/>
      <c r="Y91" s="94"/>
      <c r="Z91" s="94"/>
      <c r="AA91" s="345"/>
    </row>
    <row r="92" spans="1:27">
      <c r="B92" s="518"/>
      <c r="C92" s="94"/>
      <c r="S92" s="94"/>
      <c r="T92" s="187"/>
      <c r="U92" s="187"/>
      <c r="V92" s="94"/>
      <c r="W92" s="94"/>
      <c r="X92" s="94"/>
      <c r="Y92" s="94"/>
      <c r="Z92" s="94"/>
      <c r="AA92" s="345"/>
    </row>
    <row r="93" spans="1:27" ht="13.5" thickBot="1">
      <c r="B93" s="520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521"/>
    </row>
    <row r="94" spans="1:27" ht="15" customHeight="1">
      <c r="A94" s="432"/>
      <c r="B94" s="766"/>
      <c r="C94" s="767"/>
      <c r="D94" s="768" t="s">
        <v>663</v>
      </c>
      <c r="E94" s="767"/>
      <c r="F94" s="769"/>
      <c r="G94" s="770"/>
      <c r="H94" s="771" t="s">
        <v>664</v>
      </c>
      <c r="I94" s="772"/>
      <c r="J94" s="771"/>
      <c r="K94" s="771"/>
      <c r="L94" s="771"/>
      <c r="M94" s="771" t="s">
        <v>756</v>
      </c>
      <c r="N94" s="771"/>
      <c r="O94" s="771"/>
      <c r="P94" s="770"/>
      <c r="Q94" s="769"/>
      <c r="R94" s="770"/>
      <c r="S94" s="770" t="s">
        <v>665</v>
      </c>
      <c r="T94" s="773"/>
      <c r="U94" s="771"/>
      <c r="V94" s="771" t="s">
        <v>756</v>
      </c>
      <c r="W94" s="771"/>
      <c r="X94" s="772"/>
      <c r="Y94" s="771"/>
      <c r="Z94" s="771" t="s">
        <v>667</v>
      </c>
      <c r="AA94" s="774"/>
    </row>
    <row r="95" spans="1:27" ht="15" customHeight="1">
      <c r="B95" s="775"/>
      <c r="C95" s="776"/>
      <c r="D95" s="777" t="s">
        <v>757</v>
      </c>
      <c r="E95" s="776"/>
      <c r="F95" s="778"/>
      <c r="G95" s="779"/>
      <c r="H95" s="780" t="s">
        <v>758</v>
      </c>
      <c r="I95" s="781"/>
      <c r="J95" s="780"/>
      <c r="K95" s="780"/>
      <c r="L95" s="780"/>
      <c r="M95" s="780"/>
      <c r="N95" s="780"/>
      <c r="O95" s="780"/>
      <c r="P95" s="779"/>
      <c r="Q95" s="782"/>
      <c r="R95" s="779"/>
      <c r="S95" s="779"/>
      <c r="T95" s="782"/>
      <c r="U95" s="780"/>
      <c r="V95" s="780"/>
      <c r="W95" s="780"/>
      <c r="X95" s="781"/>
      <c r="Y95" s="780"/>
      <c r="Z95" s="783" t="s">
        <v>669</v>
      </c>
      <c r="AA95" s="784"/>
    </row>
    <row r="96" spans="1:27" ht="15" customHeight="1" thickBot="1">
      <c r="B96" s="520"/>
      <c r="C96" s="231"/>
      <c r="D96" s="231"/>
      <c r="E96" s="231"/>
      <c r="F96" s="785"/>
      <c r="G96" s="786"/>
      <c r="H96" s="231"/>
      <c r="I96" s="785"/>
      <c r="J96" s="231"/>
      <c r="K96" s="231"/>
      <c r="L96" s="231"/>
      <c r="M96" s="231"/>
      <c r="N96" s="231"/>
      <c r="O96" s="231"/>
      <c r="P96" s="231"/>
      <c r="Q96" s="785"/>
      <c r="R96" s="231"/>
      <c r="S96" s="231"/>
      <c r="T96" s="785"/>
      <c r="U96" s="231"/>
      <c r="V96" s="231"/>
      <c r="W96" s="231"/>
      <c r="X96" s="785"/>
      <c r="Y96" s="231"/>
      <c r="Z96" s="231"/>
      <c r="AA96" s="521"/>
    </row>
  </sheetData>
  <protectedRanges>
    <protectedRange sqref="M2:M3 U7:X7 T8:Z8 K6 W3 X3:X5" name="Titre_1"/>
  </protectedRanges>
  <phoneticPr fontId="12" type="noConversion"/>
  <dataValidations count="1">
    <dataValidation type="list" allowBlank="1" showInputMessage="1" showErrorMessage="1" sqref="G32">
      <formula1>GP_fluides</formula1>
    </dataValidation>
  </dataValidations>
  <pageMargins left="0.75" right="0.75" top="0.54" bottom="0.5" header="0.4921259845" footer="0.4921259845"/>
  <pageSetup paperSize="9" scale="61" orientation="portrait" r:id="rId1"/>
  <headerFooter alignWithMargins="0"/>
  <colBreaks count="1" manualBreakCount="1">
    <brk id="28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Feuil32"/>
  <dimension ref="A1:AD143"/>
  <sheetViews>
    <sheetView topLeftCell="A40" zoomScale="70" zoomScaleNormal="70" zoomScaleSheetLayoutView="85" workbookViewId="0">
      <selection activeCell="AH50" sqref="AH50"/>
    </sheetView>
  </sheetViews>
  <sheetFormatPr defaultColWidth="11.42578125" defaultRowHeight="12.75"/>
  <cols>
    <col min="1" max="1" width="1.85546875" style="91" customWidth="1"/>
    <col min="2" max="2" width="3" style="91" customWidth="1"/>
    <col min="3" max="6" width="2.85546875" style="91" customWidth="1"/>
    <col min="7" max="7" width="6" style="91" bestFit="1" customWidth="1"/>
    <col min="8" max="8" width="10.85546875" style="91" customWidth="1"/>
    <col min="9" max="9" width="14.7109375" style="91" customWidth="1"/>
    <col min="10" max="10" width="14.42578125" style="91" customWidth="1"/>
    <col min="11" max="11" width="13.85546875" style="91" customWidth="1"/>
    <col min="12" max="12" width="13.28515625" style="91" customWidth="1"/>
    <col min="13" max="13" width="17.28515625" style="91" customWidth="1"/>
    <col min="14" max="14" width="7.5703125" style="91" customWidth="1"/>
    <col min="15" max="15" width="21.7109375" style="91" customWidth="1"/>
    <col min="16" max="18" width="3.5703125" style="91" customWidth="1"/>
    <col min="19" max="19" width="3.42578125" style="91" customWidth="1"/>
    <col min="20" max="24" width="5" style="91" customWidth="1"/>
    <col min="25" max="25" width="1.85546875" style="91" customWidth="1"/>
    <col min="26" max="30" width="3.85546875" style="91" customWidth="1"/>
    <col min="31" max="16384" width="11.42578125" style="91"/>
  </cols>
  <sheetData>
    <row r="1" spans="1:30" ht="8.25" customHeight="1" thickBot="1"/>
    <row r="2" spans="1:30" ht="18" customHeight="1">
      <c r="A2" s="534"/>
      <c r="B2" s="884"/>
      <c r="C2" s="885"/>
      <c r="D2" s="885"/>
      <c r="E2" s="885"/>
      <c r="F2" s="885"/>
      <c r="G2" s="885"/>
      <c r="H2" s="886"/>
      <c r="I2" s="885"/>
      <c r="J2" s="887" t="s">
        <v>634</v>
      </c>
      <c r="K2" s="888"/>
      <c r="L2" s="889" t="s">
        <v>826</v>
      </c>
      <c r="M2" s="885"/>
      <c r="N2" s="885"/>
      <c r="O2" s="885"/>
      <c r="P2" s="885"/>
      <c r="Q2" s="885"/>
      <c r="R2" s="885"/>
      <c r="S2" s="886"/>
      <c r="T2" s="885"/>
      <c r="U2" s="885"/>
      <c r="V2" s="890" t="s">
        <v>635</v>
      </c>
      <c r="W2" s="885"/>
      <c r="X2" s="891"/>
      <c r="Z2" s="94"/>
      <c r="AA2" s="94"/>
      <c r="AB2" s="94"/>
      <c r="AC2" s="94"/>
      <c r="AD2" s="94"/>
    </row>
    <row r="3" spans="1:30" ht="15.75">
      <c r="A3" s="534"/>
      <c r="B3" s="892"/>
      <c r="C3" s="540"/>
      <c r="D3" s="540"/>
      <c r="E3" s="540"/>
      <c r="F3" s="540"/>
      <c r="G3" s="540"/>
      <c r="H3" s="893"/>
      <c r="I3" s="540"/>
      <c r="J3" s="894" t="s">
        <v>636</v>
      </c>
      <c r="K3" s="540"/>
      <c r="L3" s="895" t="s">
        <v>827</v>
      </c>
      <c r="M3" s="534"/>
      <c r="N3" s="534"/>
      <c r="O3" s="534"/>
      <c r="P3" s="534"/>
      <c r="Q3" s="534"/>
      <c r="R3" s="534"/>
      <c r="S3" s="541"/>
      <c r="T3" s="534"/>
      <c r="U3" s="534"/>
      <c r="V3" s="553" t="s">
        <v>829</v>
      </c>
      <c r="W3" s="534"/>
      <c r="X3" s="896"/>
      <c r="Z3" s="94"/>
      <c r="AA3" s="94"/>
      <c r="AB3" s="94"/>
      <c r="AC3" s="94"/>
      <c r="AD3" s="94"/>
    </row>
    <row r="4" spans="1:30" ht="15">
      <c r="A4" s="534"/>
      <c r="B4" s="897"/>
      <c r="C4" s="898"/>
      <c r="D4" s="898"/>
      <c r="E4" s="898"/>
      <c r="F4" s="898"/>
      <c r="G4" s="898"/>
      <c r="H4" s="546"/>
      <c r="I4" s="898"/>
      <c r="J4" s="898"/>
      <c r="K4" s="898"/>
      <c r="L4" s="898"/>
      <c r="M4" s="898"/>
      <c r="N4" s="898"/>
      <c r="O4" s="898"/>
      <c r="P4" s="898"/>
      <c r="Q4" s="898"/>
      <c r="R4" s="547"/>
      <c r="S4" s="550"/>
      <c r="T4" s="549"/>
      <c r="U4" s="899"/>
      <c r="V4" s="899"/>
      <c r="W4" s="899"/>
      <c r="X4" s="900"/>
      <c r="Z4" s="723"/>
      <c r="AA4" s="723"/>
      <c r="AB4" s="723"/>
      <c r="AC4" s="723"/>
      <c r="AD4" s="723"/>
    </row>
    <row r="5" spans="1:30" ht="15">
      <c r="A5" s="534"/>
      <c r="B5" s="892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34"/>
      <c r="S5" s="541"/>
      <c r="T5" s="901"/>
      <c r="U5" s="901"/>
      <c r="V5" s="902" t="s">
        <v>640</v>
      </c>
      <c r="W5" s="901"/>
      <c r="X5" s="896"/>
      <c r="Z5" s="723"/>
      <c r="AA5" s="723"/>
      <c r="AB5" s="723"/>
      <c r="AC5" s="723"/>
      <c r="AD5" s="723"/>
    </row>
    <row r="6" spans="1:30" ht="15.75">
      <c r="A6" s="534"/>
      <c r="B6" s="892"/>
      <c r="C6" s="540"/>
      <c r="D6" s="540"/>
      <c r="E6" s="540"/>
      <c r="F6" s="534"/>
      <c r="G6" s="540"/>
      <c r="H6" s="534"/>
      <c r="I6" s="540"/>
      <c r="J6" s="534"/>
      <c r="K6" s="903" t="s">
        <v>828</v>
      </c>
      <c r="L6" s="540"/>
      <c r="M6" s="534"/>
      <c r="N6" s="534"/>
      <c r="O6" s="534"/>
      <c r="P6" s="534"/>
      <c r="Q6" s="534"/>
      <c r="R6" s="534"/>
      <c r="S6" s="541"/>
      <c r="T6" s="554"/>
      <c r="U6" s="554"/>
      <c r="V6" s="553" t="s">
        <v>830</v>
      </c>
      <c r="W6" s="554"/>
      <c r="X6" s="896"/>
    </row>
    <row r="7" spans="1:30" ht="12.75" customHeight="1">
      <c r="A7" s="534"/>
      <c r="B7" s="897"/>
      <c r="C7" s="904"/>
      <c r="D7" s="904"/>
      <c r="E7" s="904"/>
      <c r="F7" s="904"/>
      <c r="G7" s="904"/>
      <c r="H7" s="904"/>
      <c r="I7" s="904"/>
      <c r="J7" s="547"/>
      <c r="K7" s="904"/>
      <c r="L7" s="904"/>
      <c r="M7" s="904"/>
      <c r="N7" s="904"/>
      <c r="O7" s="904"/>
      <c r="P7" s="904"/>
      <c r="Q7" s="547"/>
      <c r="R7" s="905"/>
      <c r="S7" s="906"/>
      <c r="T7" s="905"/>
      <c r="U7" s="905"/>
      <c r="V7" s="905"/>
      <c r="W7" s="905"/>
      <c r="X7" s="907"/>
      <c r="Y7" s="735"/>
      <c r="Z7" s="735"/>
      <c r="AA7" s="735"/>
      <c r="AB7" s="735"/>
      <c r="AC7" s="735"/>
      <c r="AD7" s="735"/>
    </row>
    <row r="8" spans="1:30" ht="15.75" thickBot="1">
      <c r="A8" s="534"/>
      <c r="B8" s="908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10"/>
      <c r="R8" s="910"/>
      <c r="S8" s="911"/>
      <c r="T8" s="910"/>
      <c r="U8" s="910"/>
      <c r="V8" s="910"/>
      <c r="W8" s="910"/>
      <c r="X8" s="912"/>
      <c r="Y8" s="735"/>
      <c r="Z8" s="735"/>
      <c r="AA8" s="735"/>
      <c r="AB8" s="735"/>
      <c r="AC8" s="735"/>
      <c r="AD8" s="735"/>
    </row>
    <row r="9" spans="1:30" ht="15">
      <c r="A9" s="534"/>
      <c r="B9" s="884"/>
      <c r="C9" s="885"/>
      <c r="D9" s="885"/>
      <c r="E9" s="885"/>
      <c r="F9" s="885"/>
      <c r="G9" s="885"/>
      <c r="H9" s="885"/>
      <c r="I9" s="885"/>
      <c r="J9" s="885"/>
      <c r="K9" s="885"/>
      <c r="L9" s="885"/>
      <c r="M9" s="885"/>
      <c r="N9" s="885"/>
      <c r="O9" s="885"/>
      <c r="P9" s="885"/>
      <c r="Q9" s="885"/>
      <c r="R9" s="890"/>
      <c r="S9" s="885"/>
      <c r="T9" s="885"/>
      <c r="U9" s="885"/>
      <c r="V9" s="885" t="s">
        <v>642</v>
      </c>
      <c r="W9" s="885"/>
      <c r="X9" s="891"/>
      <c r="Y9" s="724"/>
      <c r="Z9" s="724"/>
      <c r="AA9" s="724"/>
      <c r="AB9" s="724"/>
      <c r="AC9" s="724"/>
      <c r="AD9" s="724"/>
    </row>
    <row r="10" spans="1:30" ht="15">
      <c r="A10" s="534"/>
      <c r="B10" s="892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53"/>
      <c r="S10" s="534"/>
      <c r="T10" s="534"/>
      <c r="U10" s="534"/>
      <c r="V10" s="534"/>
      <c r="W10" s="534"/>
      <c r="X10" s="896"/>
      <c r="Y10" s="724"/>
      <c r="Z10" s="724"/>
      <c r="AA10" s="724"/>
      <c r="AB10" s="724"/>
      <c r="AC10" s="724"/>
      <c r="AD10" s="724"/>
    </row>
    <row r="11" spans="1:30" ht="15.75">
      <c r="A11" s="534"/>
      <c r="B11" s="892"/>
      <c r="C11" s="534"/>
      <c r="D11" s="913" t="s">
        <v>858</v>
      </c>
      <c r="E11" s="913"/>
      <c r="F11" s="913"/>
      <c r="G11" s="913"/>
      <c r="H11" s="913"/>
      <c r="I11" s="913"/>
      <c r="J11" s="913"/>
      <c r="K11" s="913"/>
      <c r="L11" s="913"/>
      <c r="M11" s="913"/>
      <c r="N11" s="913"/>
      <c r="O11" s="913"/>
      <c r="P11" s="913"/>
      <c r="Q11" s="914"/>
      <c r="R11" s="914"/>
      <c r="S11" s="915"/>
      <c r="T11" s="534"/>
      <c r="U11" s="534"/>
      <c r="V11" s="534"/>
      <c r="W11" s="534"/>
      <c r="X11" s="896"/>
      <c r="Y11" s="724"/>
      <c r="Z11" s="724"/>
      <c r="AA11" s="724"/>
      <c r="AB11" s="724"/>
      <c r="AC11" s="724"/>
      <c r="AD11" s="724"/>
    </row>
    <row r="12" spans="1:30" ht="15">
      <c r="A12" s="534"/>
      <c r="B12" s="892"/>
      <c r="C12" s="534"/>
      <c r="D12" s="534"/>
      <c r="E12" s="534"/>
      <c r="F12" s="534"/>
      <c r="G12" s="534"/>
      <c r="H12" s="534"/>
      <c r="I12" s="534"/>
      <c r="L12" s="92"/>
      <c r="M12" s="92"/>
      <c r="N12" s="92"/>
      <c r="O12" s="92"/>
      <c r="P12" s="534"/>
      <c r="Q12" s="534"/>
      <c r="R12" s="553"/>
      <c r="S12" s="534"/>
      <c r="T12" s="534"/>
      <c r="U12" s="534"/>
      <c r="V12" s="534"/>
      <c r="W12" s="534"/>
      <c r="X12" s="896"/>
      <c r="Y12" s="724"/>
      <c r="Z12" s="724"/>
      <c r="AA12" s="724"/>
      <c r="AB12" s="724"/>
      <c r="AC12" s="724"/>
      <c r="AD12" s="724"/>
    </row>
    <row r="13" spans="1:30" ht="15">
      <c r="A13" s="534"/>
      <c r="B13" s="892"/>
      <c r="C13" s="534"/>
      <c r="D13" s="534"/>
      <c r="E13" s="534"/>
      <c r="F13" s="534"/>
      <c r="G13" s="534"/>
      <c r="H13" s="534" t="s">
        <v>89</v>
      </c>
      <c r="I13" s="534"/>
      <c r="J13" s="980">
        <v>4.43</v>
      </c>
      <c r="K13" s="528"/>
      <c r="L13" s="806"/>
      <c r="M13" s="806"/>
      <c r="N13" s="806"/>
      <c r="O13" s="806"/>
      <c r="P13" s="534"/>
      <c r="Q13" s="534"/>
      <c r="R13" s="553"/>
      <c r="S13" s="534"/>
      <c r="T13" s="534"/>
      <c r="U13" s="534"/>
      <c r="V13" s="534"/>
      <c r="W13" s="534"/>
      <c r="X13" s="896"/>
      <c r="Y13" s="724"/>
      <c r="Z13" s="724"/>
      <c r="AA13" s="724"/>
      <c r="AB13" s="724"/>
      <c r="AC13" s="724"/>
      <c r="AD13" s="724"/>
    </row>
    <row r="14" spans="1:30" ht="15">
      <c r="A14" s="534"/>
      <c r="B14" s="892"/>
      <c r="C14" s="534"/>
      <c r="D14" s="534"/>
      <c r="E14" s="534"/>
      <c r="F14" s="534"/>
      <c r="G14" s="534"/>
      <c r="H14" s="534" t="s">
        <v>83</v>
      </c>
      <c r="I14" s="534"/>
      <c r="J14" s="981">
        <v>1.22</v>
      </c>
      <c r="K14" s="528"/>
      <c r="L14" s="806"/>
      <c r="M14" s="806"/>
      <c r="N14" s="806"/>
      <c r="O14" s="806"/>
      <c r="P14" s="534"/>
      <c r="Q14" s="534"/>
      <c r="R14" s="553"/>
      <c r="S14" s="534"/>
      <c r="T14" s="534"/>
      <c r="U14" s="534"/>
      <c r="V14" s="534"/>
      <c r="W14" s="534"/>
      <c r="X14" s="896"/>
      <c r="Y14" s="724"/>
      <c r="Z14" s="724"/>
      <c r="AA14" s="724"/>
      <c r="AB14" s="724"/>
      <c r="AC14" s="724"/>
      <c r="AD14" s="724"/>
    </row>
    <row r="15" spans="1:30" ht="15">
      <c r="A15" s="534"/>
      <c r="B15" s="892"/>
      <c r="C15" s="534"/>
      <c r="D15" s="534"/>
      <c r="E15" s="534"/>
      <c r="F15" s="534"/>
      <c r="G15" s="534"/>
      <c r="H15" s="534" t="s">
        <v>834</v>
      </c>
      <c r="I15" s="534"/>
      <c r="J15" s="985">
        <v>0.63</v>
      </c>
      <c r="K15" s="986">
        <f>[9]!Rho_(11,J14,J13-0.1)</f>
        <v>123.50023626243168</v>
      </c>
      <c r="L15" s="806"/>
      <c r="M15" s="806"/>
      <c r="N15" s="806"/>
      <c r="O15" s="806"/>
      <c r="P15" s="534"/>
      <c r="Q15" s="534"/>
      <c r="R15" s="553"/>
      <c r="S15" s="534"/>
      <c r="T15" s="534"/>
      <c r="U15" s="534"/>
      <c r="V15" s="534"/>
      <c r="W15" s="534"/>
      <c r="X15" s="896"/>
      <c r="Y15" s="724"/>
      <c r="Z15" s="724"/>
      <c r="AA15" s="724"/>
      <c r="AB15" s="724"/>
      <c r="AC15" s="724"/>
      <c r="AD15" s="724"/>
    </row>
    <row r="16" spans="1:30" ht="15">
      <c r="A16" s="534"/>
      <c r="B16" s="892"/>
      <c r="C16" s="534"/>
      <c r="D16" s="534"/>
      <c r="E16" s="534"/>
      <c r="F16" s="534"/>
      <c r="G16" s="534"/>
      <c r="H16" s="534" t="s">
        <v>835</v>
      </c>
      <c r="I16" s="534"/>
      <c r="J16" s="985">
        <f>1-J15</f>
        <v>0.37</v>
      </c>
      <c r="K16" s="986">
        <f>[9]!Rho_(11,J14,J13)</f>
        <v>20.474068726704175</v>
      </c>
      <c r="L16" s="806"/>
      <c r="M16" s="806"/>
      <c r="N16" s="806"/>
      <c r="O16" s="806"/>
      <c r="P16" s="534"/>
      <c r="Q16" s="534"/>
      <c r="R16" s="553"/>
      <c r="S16" s="534"/>
      <c r="T16" s="534"/>
      <c r="U16" s="534"/>
      <c r="V16" s="534"/>
      <c r="W16" s="534"/>
      <c r="X16" s="896"/>
      <c r="Y16" s="724"/>
      <c r="Z16" s="724"/>
      <c r="AA16" s="724"/>
      <c r="AB16" s="724"/>
      <c r="AC16" s="724"/>
      <c r="AD16" s="724"/>
    </row>
    <row r="17" spans="1:30" ht="15">
      <c r="A17" s="534"/>
      <c r="B17" s="892"/>
      <c r="C17" s="534"/>
      <c r="D17" s="534"/>
      <c r="E17" s="534"/>
      <c r="F17" s="534"/>
      <c r="G17" s="534"/>
      <c r="H17" s="534"/>
      <c r="I17" s="534"/>
      <c r="J17" s="806"/>
      <c r="K17" s="528"/>
      <c r="L17" s="806"/>
      <c r="M17" s="806"/>
      <c r="N17" s="806"/>
      <c r="O17" s="806"/>
      <c r="P17" s="534"/>
      <c r="Q17" s="534"/>
      <c r="R17" s="553"/>
      <c r="S17" s="534"/>
      <c r="T17" s="534"/>
      <c r="U17" s="534"/>
      <c r="V17" s="534"/>
      <c r="W17" s="534"/>
      <c r="X17" s="896"/>
      <c r="Y17" s="724"/>
      <c r="Z17" s="724"/>
      <c r="AA17" s="724"/>
      <c r="AB17" s="724"/>
      <c r="AC17" s="724"/>
      <c r="AD17" s="724"/>
    </row>
    <row r="18" spans="1:30" ht="15">
      <c r="A18" s="534"/>
      <c r="B18" s="892"/>
      <c r="C18" s="534"/>
      <c r="D18" s="534"/>
      <c r="E18" s="534"/>
      <c r="F18" s="534"/>
      <c r="G18" s="534"/>
      <c r="H18" s="534"/>
      <c r="I18" s="534"/>
      <c r="J18" s="806"/>
      <c r="K18" s="528"/>
      <c r="L18" s="806"/>
      <c r="M18" s="806"/>
      <c r="N18" s="806"/>
      <c r="O18" s="806"/>
      <c r="P18" s="534"/>
      <c r="Q18" s="534"/>
      <c r="R18" s="553"/>
      <c r="S18" s="534"/>
      <c r="T18" s="534"/>
      <c r="U18" s="534"/>
      <c r="V18" s="534"/>
      <c r="W18" s="534"/>
      <c r="X18" s="896"/>
      <c r="Y18" s="724"/>
      <c r="Z18" s="724"/>
      <c r="AA18" s="724"/>
      <c r="AB18" s="724"/>
      <c r="AC18" s="724"/>
      <c r="AD18" s="724"/>
    </row>
    <row r="19" spans="1:30" ht="15.75">
      <c r="A19" s="534"/>
      <c r="B19" s="892"/>
      <c r="C19" s="534"/>
      <c r="D19" s="534"/>
      <c r="E19" s="534"/>
      <c r="F19" s="534"/>
      <c r="G19" s="534"/>
      <c r="H19" s="534"/>
      <c r="I19" s="534"/>
      <c r="J19" s="988" t="s">
        <v>244</v>
      </c>
      <c r="K19" s="988" t="s">
        <v>374</v>
      </c>
      <c r="L19" s="988" t="s">
        <v>374</v>
      </c>
      <c r="M19" s="988" t="s">
        <v>859</v>
      </c>
      <c r="N19" s="806"/>
      <c r="O19" s="806"/>
      <c r="P19" s="534"/>
      <c r="Q19" s="534"/>
      <c r="R19" s="553"/>
      <c r="S19" s="534"/>
      <c r="T19" s="534"/>
      <c r="U19" s="534"/>
      <c r="V19" s="534"/>
      <c r="W19" s="534"/>
      <c r="X19" s="896"/>
      <c r="Y19" s="724"/>
      <c r="Z19" s="724"/>
      <c r="AA19" s="724"/>
      <c r="AB19" s="724"/>
      <c r="AC19" s="724"/>
      <c r="AD19" s="724"/>
    </row>
    <row r="20" spans="1:30" ht="15.75">
      <c r="A20" s="534"/>
      <c r="B20" s="892"/>
      <c r="C20" s="534"/>
      <c r="D20" s="534"/>
      <c r="E20" s="534"/>
      <c r="F20" s="534"/>
      <c r="G20" s="990" t="s">
        <v>860</v>
      </c>
      <c r="H20" s="989">
        <v>280</v>
      </c>
      <c r="I20" s="528"/>
      <c r="J20" s="806" t="s">
        <v>834</v>
      </c>
      <c r="K20" s="982">
        <f>H20*J15</f>
        <v>176.4</v>
      </c>
      <c r="L20" s="983">
        <f>K20*3.6</f>
        <v>635.04000000000008</v>
      </c>
      <c r="M20" s="984">
        <f>L20/K15</f>
        <v>5.1420144545357189</v>
      </c>
      <c r="P20" s="534"/>
      <c r="Q20" s="534"/>
      <c r="R20" s="553"/>
      <c r="S20" s="534"/>
      <c r="T20" s="534"/>
      <c r="U20" s="534"/>
      <c r="V20" s="534"/>
      <c r="W20" s="534"/>
      <c r="X20" s="896"/>
      <c r="Y20" s="724"/>
      <c r="Z20" s="724"/>
      <c r="AA20" s="724"/>
      <c r="AB20" s="724"/>
      <c r="AC20" s="724"/>
      <c r="AD20" s="724"/>
    </row>
    <row r="21" spans="1:30" ht="15">
      <c r="A21" s="534"/>
      <c r="B21" s="892"/>
      <c r="C21" s="534"/>
      <c r="D21" s="534"/>
      <c r="E21" s="534"/>
      <c r="F21" s="534"/>
      <c r="H21" s="528"/>
      <c r="I21" s="528"/>
      <c r="J21" s="806" t="s">
        <v>857</v>
      </c>
      <c r="K21" s="982">
        <f>H20*J16</f>
        <v>103.6</v>
      </c>
      <c r="L21" s="983">
        <f>K21*3.6</f>
        <v>372.96</v>
      </c>
      <c r="M21" s="984">
        <f>L21/K16</f>
        <v>18.216213151299577</v>
      </c>
      <c r="P21" s="534"/>
      <c r="Q21" s="534"/>
      <c r="R21" s="553"/>
      <c r="S21" s="534"/>
      <c r="T21" s="534"/>
      <c r="U21" s="534"/>
      <c r="V21" s="534"/>
      <c r="W21" s="534"/>
      <c r="X21" s="896"/>
      <c r="Y21" s="724"/>
      <c r="Z21" s="724"/>
      <c r="AA21" s="724"/>
      <c r="AB21" s="724"/>
      <c r="AC21" s="724"/>
      <c r="AD21" s="724"/>
    </row>
    <row r="22" spans="1:30" ht="15.75">
      <c r="A22" s="534"/>
      <c r="B22" s="892"/>
      <c r="C22" s="534"/>
      <c r="D22" s="534"/>
      <c r="E22" s="534"/>
      <c r="F22" s="534"/>
      <c r="H22" s="528"/>
      <c r="I22" s="528"/>
      <c r="L22" s="806"/>
      <c r="M22" s="987">
        <f>M21+M20</f>
        <v>23.358227605835296</v>
      </c>
      <c r="N22" s="806"/>
      <c r="O22" s="806"/>
      <c r="P22" s="534"/>
      <c r="Q22" s="534"/>
      <c r="R22" s="553"/>
      <c r="S22" s="534"/>
      <c r="T22" s="534"/>
      <c r="U22" s="534"/>
      <c r="V22" s="534"/>
      <c r="W22" s="534"/>
      <c r="X22" s="896"/>
      <c r="Y22" s="724"/>
      <c r="Z22" s="724"/>
      <c r="AA22" s="724"/>
      <c r="AB22" s="724"/>
      <c r="AC22" s="724"/>
      <c r="AD22" s="724"/>
    </row>
    <row r="23" spans="1:30" ht="15">
      <c r="A23" s="534"/>
      <c r="B23" s="892"/>
      <c r="C23" s="534"/>
      <c r="D23" s="534"/>
      <c r="E23" s="534"/>
      <c r="F23" s="534"/>
      <c r="H23" s="528"/>
      <c r="I23" s="528"/>
      <c r="J23" s="806"/>
      <c r="K23" s="806"/>
      <c r="L23" s="806"/>
      <c r="M23" s="806"/>
      <c r="N23" s="806"/>
      <c r="O23" s="806"/>
      <c r="P23" s="534"/>
      <c r="Q23" s="534"/>
      <c r="R23" s="553"/>
      <c r="S23" s="534"/>
      <c r="T23" s="534"/>
      <c r="U23" s="534"/>
      <c r="V23" s="534"/>
      <c r="W23" s="534"/>
      <c r="X23" s="896"/>
      <c r="Y23" s="724"/>
      <c r="Z23" s="724"/>
      <c r="AA23" s="724"/>
      <c r="AB23" s="724"/>
      <c r="AC23" s="724"/>
      <c r="AD23" s="724"/>
    </row>
    <row r="24" spans="1:30" ht="15.75">
      <c r="A24" s="534"/>
      <c r="B24" s="892"/>
      <c r="C24" s="534"/>
      <c r="D24" s="534"/>
      <c r="E24" s="534"/>
      <c r="F24" s="534"/>
      <c r="H24" s="528"/>
      <c r="I24" s="528"/>
      <c r="J24" s="988" t="s">
        <v>244</v>
      </c>
      <c r="K24" s="988" t="s">
        <v>374</v>
      </c>
      <c r="L24" s="988" t="s">
        <v>374</v>
      </c>
      <c r="M24" s="988" t="s">
        <v>859</v>
      </c>
      <c r="N24" s="806"/>
      <c r="O24" s="806"/>
      <c r="P24" s="534"/>
      <c r="Q24" s="534"/>
      <c r="R24" s="553"/>
      <c r="S24" s="534"/>
      <c r="T24" s="534"/>
      <c r="U24" s="534"/>
      <c r="V24" s="534"/>
      <c r="W24" s="534"/>
      <c r="X24" s="896"/>
      <c r="Y24" s="724"/>
      <c r="Z24" s="724"/>
      <c r="AA24" s="724"/>
      <c r="AB24" s="724"/>
      <c r="AC24" s="724"/>
      <c r="AD24" s="724"/>
    </row>
    <row r="25" spans="1:30" ht="15.75">
      <c r="A25" s="534"/>
      <c r="B25" s="892"/>
      <c r="C25" s="534"/>
      <c r="D25" s="534"/>
      <c r="E25" s="534"/>
      <c r="F25" s="534"/>
      <c r="G25" s="990" t="s">
        <v>861</v>
      </c>
      <c r="H25" s="989">
        <v>70</v>
      </c>
      <c r="I25" s="528"/>
      <c r="J25" s="806" t="s">
        <v>834</v>
      </c>
      <c r="K25" s="982">
        <f>H25*J15</f>
        <v>44.1</v>
      </c>
      <c r="L25" s="983">
        <f>K25*3.6</f>
        <v>158.76000000000002</v>
      </c>
      <c r="M25" s="984">
        <f>L25/K15</f>
        <v>1.2855036136339297</v>
      </c>
      <c r="N25" s="528"/>
      <c r="O25" s="806"/>
      <c r="P25" s="534"/>
      <c r="Q25" s="534"/>
      <c r="R25" s="553"/>
      <c r="S25" s="534"/>
      <c r="T25" s="534"/>
      <c r="U25" s="534"/>
      <c r="V25" s="534"/>
      <c r="W25" s="534"/>
      <c r="X25" s="896"/>
      <c r="Y25" s="724"/>
      <c r="Z25" s="724"/>
      <c r="AA25" s="724"/>
      <c r="AB25" s="724"/>
      <c r="AC25" s="724"/>
      <c r="AD25" s="724"/>
    </row>
    <row r="26" spans="1:30" ht="15">
      <c r="A26" s="534"/>
      <c r="B26" s="892"/>
      <c r="C26" s="534"/>
      <c r="D26" s="534"/>
      <c r="E26" s="534"/>
      <c r="F26" s="534"/>
      <c r="H26" s="528"/>
      <c r="I26" s="528"/>
      <c r="J26" s="806" t="s">
        <v>857</v>
      </c>
      <c r="K26" s="982">
        <f>H25*J16</f>
        <v>25.9</v>
      </c>
      <c r="L26" s="983">
        <f>K26*3.6</f>
        <v>93.24</v>
      </c>
      <c r="M26" s="984">
        <f>L26/K16</f>
        <v>4.5540532878248943</v>
      </c>
      <c r="N26" s="528"/>
      <c r="O26" s="806"/>
      <c r="P26" s="534"/>
      <c r="Q26" s="534"/>
      <c r="R26" s="553"/>
      <c r="S26" s="534"/>
      <c r="T26" s="534"/>
      <c r="U26" s="534"/>
      <c r="V26" s="534"/>
      <c r="W26" s="534"/>
      <c r="X26" s="896"/>
      <c r="Y26" s="724"/>
      <c r="Z26" s="724"/>
      <c r="AA26" s="724"/>
      <c r="AB26" s="724"/>
      <c r="AC26" s="724"/>
      <c r="AD26" s="724"/>
    </row>
    <row r="27" spans="1:30" ht="15.75">
      <c r="A27" s="534"/>
      <c r="B27" s="892"/>
      <c r="C27" s="534"/>
      <c r="D27" s="534"/>
      <c r="E27" s="534"/>
      <c r="F27" s="534"/>
      <c r="H27" s="528"/>
      <c r="I27" s="528"/>
      <c r="J27" s="806"/>
      <c r="L27" s="806"/>
      <c r="M27" s="987">
        <f>M26+M25</f>
        <v>5.839556901458824</v>
      </c>
      <c r="N27" s="528"/>
      <c r="O27" s="806"/>
      <c r="P27" s="534"/>
      <c r="Q27" s="534"/>
      <c r="R27" s="553"/>
      <c r="S27" s="534"/>
      <c r="T27" s="534"/>
      <c r="U27" s="534"/>
      <c r="V27" s="534"/>
      <c r="W27" s="534"/>
      <c r="X27" s="896"/>
      <c r="Y27" s="724"/>
      <c r="Z27" s="724"/>
      <c r="AA27" s="724"/>
      <c r="AB27" s="724"/>
      <c r="AC27" s="724"/>
      <c r="AD27" s="724"/>
    </row>
    <row r="28" spans="1:30" ht="15">
      <c r="A28" s="534"/>
      <c r="B28" s="892"/>
      <c r="C28" s="534"/>
      <c r="D28" s="534"/>
      <c r="E28" s="534"/>
      <c r="F28" s="534"/>
      <c r="H28" s="528"/>
      <c r="I28" s="528"/>
      <c r="N28" s="528"/>
      <c r="O28" s="806"/>
      <c r="P28" s="534"/>
      <c r="Q28" s="534"/>
      <c r="R28" s="553"/>
      <c r="S28" s="534"/>
      <c r="T28" s="534"/>
      <c r="U28" s="534"/>
      <c r="V28" s="534"/>
      <c r="W28" s="534"/>
      <c r="X28" s="896"/>
      <c r="Y28" s="724"/>
      <c r="Z28" s="724"/>
      <c r="AA28" s="724"/>
      <c r="AB28" s="724"/>
      <c r="AC28" s="724"/>
      <c r="AD28" s="724"/>
    </row>
    <row r="29" spans="1:30" ht="15">
      <c r="A29" s="534"/>
      <c r="B29" s="892"/>
      <c r="C29" s="534"/>
      <c r="D29" s="534"/>
      <c r="E29" s="534"/>
      <c r="F29" s="534"/>
      <c r="H29" s="528"/>
      <c r="I29" s="528"/>
      <c r="N29" s="806"/>
      <c r="O29" s="806"/>
      <c r="P29" s="534"/>
      <c r="Q29" s="534"/>
      <c r="R29" s="553"/>
      <c r="S29" s="534"/>
      <c r="T29" s="534"/>
      <c r="U29" s="534"/>
      <c r="V29" s="534"/>
      <c r="W29" s="534"/>
      <c r="X29" s="896"/>
      <c r="Y29" s="724"/>
      <c r="Z29" s="724"/>
      <c r="AA29" s="724"/>
      <c r="AB29" s="724"/>
      <c r="AC29" s="724"/>
      <c r="AD29" s="724"/>
    </row>
    <row r="30" spans="1:30" ht="15">
      <c r="A30" s="534"/>
      <c r="B30" s="892"/>
      <c r="C30" s="534"/>
      <c r="D30" s="534"/>
      <c r="E30" s="534"/>
      <c r="F30" s="534"/>
      <c r="H30" s="528"/>
      <c r="I30" s="528"/>
      <c r="J30" s="528"/>
      <c r="K30" s="528"/>
      <c r="L30" s="528"/>
      <c r="M30" s="534"/>
      <c r="N30" s="534"/>
      <c r="O30" s="534"/>
      <c r="P30" s="534"/>
      <c r="Q30" s="534"/>
      <c r="R30" s="553"/>
      <c r="S30" s="534"/>
      <c r="T30" s="534"/>
      <c r="U30" s="534"/>
      <c r="V30" s="534"/>
      <c r="W30" s="534"/>
      <c r="X30" s="896"/>
      <c r="Y30" s="724"/>
      <c r="Z30" s="724"/>
      <c r="AA30" s="724"/>
      <c r="AB30" s="724"/>
      <c r="AC30" s="724"/>
      <c r="AD30" s="724"/>
    </row>
    <row r="31" spans="1:30" ht="15.75">
      <c r="A31" s="534"/>
      <c r="B31" s="892"/>
      <c r="C31" s="534"/>
      <c r="D31" s="913" t="s">
        <v>856</v>
      </c>
      <c r="E31" s="913"/>
      <c r="F31" s="913"/>
      <c r="G31" s="913"/>
      <c r="H31" s="913"/>
      <c r="I31" s="913"/>
      <c r="J31" s="913"/>
      <c r="K31" s="913"/>
      <c r="L31" s="913"/>
      <c r="M31" s="913"/>
      <c r="N31" s="913"/>
      <c r="O31" s="913"/>
      <c r="P31" s="913"/>
      <c r="Q31" s="914"/>
      <c r="R31" s="914"/>
      <c r="S31" s="915"/>
      <c r="T31" s="534"/>
      <c r="U31" s="534"/>
      <c r="V31" s="534"/>
      <c r="W31" s="534"/>
      <c r="X31" s="896"/>
      <c r="Y31" s="724"/>
      <c r="Z31" s="724"/>
      <c r="AA31" s="724"/>
      <c r="AB31" s="724"/>
      <c r="AC31" s="724"/>
      <c r="AD31" s="724"/>
    </row>
    <row r="32" spans="1:30" ht="15">
      <c r="A32" s="534"/>
      <c r="B32" s="892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4"/>
      <c r="N32" s="534"/>
      <c r="O32" s="534"/>
      <c r="P32" s="534"/>
      <c r="Q32" s="534"/>
      <c r="R32" s="553"/>
      <c r="S32" s="534"/>
      <c r="T32" s="534"/>
      <c r="U32" s="534"/>
      <c r="V32" s="534"/>
      <c r="W32" s="534"/>
      <c r="X32" s="896"/>
      <c r="Y32" s="724"/>
      <c r="Z32" s="724"/>
      <c r="AA32" s="724"/>
      <c r="AB32" s="724"/>
      <c r="AC32" s="724"/>
      <c r="AD32" s="724"/>
    </row>
    <row r="33" spans="1:30" ht="15">
      <c r="A33" s="534"/>
      <c r="B33" s="892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53"/>
      <c r="S33" s="534"/>
      <c r="T33" s="534"/>
      <c r="U33" s="534"/>
      <c r="V33" s="534"/>
      <c r="W33" s="534"/>
      <c r="X33" s="896"/>
      <c r="Y33" s="724"/>
      <c r="Z33" s="724"/>
      <c r="AA33" s="724"/>
      <c r="AB33" s="724"/>
      <c r="AC33" s="724"/>
      <c r="AD33" s="724"/>
    </row>
    <row r="34" spans="1:30" ht="15">
      <c r="A34" s="534"/>
      <c r="B34" s="892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53"/>
      <c r="S34" s="534"/>
      <c r="T34" s="534"/>
      <c r="U34" s="534"/>
      <c r="V34" s="534"/>
      <c r="W34" s="534"/>
      <c r="X34" s="896"/>
      <c r="Y34" s="724"/>
      <c r="Z34" s="724"/>
      <c r="AA34" s="724"/>
      <c r="AB34" s="724"/>
      <c r="AC34" s="724"/>
      <c r="AD34" s="724"/>
    </row>
    <row r="35" spans="1:30" ht="15">
      <c r="A35" s="534"/>
      <c r="B35" s="892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53"/>
      <c r="S35" s="534"/>
      <c r="T35" s="534"/>
      <c r="U35" s="534"/>
      <c r="V35" s="534"/>
      <c r="W35" s="534"/>
      <c r="X35" s="896"/>
      <c r="Y35" s="724"/>
      <c r="Z35" s="724"/>
      <c r="AA35" s="724"/>
      <c r="AB35" s="724"/>
      <c r="AC35" s="724"/>
      <c r="AD35" s="724"/>
    </row>
    <row r="36" spans="1:30" ht="15">
      <c r="A36" s="534"/>
      <c r="B36" s="892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N36" s="534"/>
      <c r="O36" s="534"/>
      <c r="P36" s="534"/>
      <c r="Q36" s="534"/>
      <c r="R36" s="553"/>
      <c r="S36" s="534"/>
      <c r="T36" s="534"/>
      <c r="U36" s="534"/>
      <c r="V36" s="534"/>
      <c r="W36" s="534"/>
      <c r="X36" s="896"/>
      <c r="Y36" s="724"/>
      <c r="Z36" s="724"/>
      <c r="AA36" s="724"/>
      <c r="AB36" s="724"/>
      <c r="AC36" s="724"/>
      <c r="AD36" s="724"/>
    </row>
    <row r="37" spans="1:30" ht="15">
      <c r="A37" s="534"/>
      <c r="B37" s="892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53"/>
      <c r="S37" s="534"/>
      <c r="T37" s="534"/>
      <c r="U37" s="534"/>
      <c r="V37" s="534"/>
      <c r="W37" s="534"/>
      <c r="X37" s="896"/>
      <c r="Y37" s="724"/>
      <c r="Z37" s="724"/>
      <c r="AA37" s="724"/>
      <c r="AB37" s="724"/>
      <c r="AC37" s="724"/>
      <c r="AD37" s="724"/>
    </row>
    <row r="38" spans="1:30" ht="15">
      <c r="A38" s="534"/>
      <c r="B38" s="892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53"/>
      <c r="S38" s="534"/>
      <c r="T38" s="534"/>
      <c r="U38" s="534"/>
      <c r="V38" s="534"/>
      <c r="W38" s="534"/>
      <c r="X38" s="896"/>
      <c r="Y38" s="724"/>
      <c r="Z38" s="724"/>
      <c r="AA38" s="724"/>
      <c r="AB38" s="724"/>
      <c r="AC38" s="724"/>
      <c r="AD38" s="724"/>
    </row>
    <row r="39" spans="1:30" ht="15">
      <c r="A39" s="534"/>
      <c r="B39" s="892"/>
      <c r="C39" s="534"/>
      <c r="D39" s="968"/>
      <c r="E39" s="968"/>
      <c r="F39" s="964"/>
      <c r="G39" s="964"/>
      <c r="H39" s="534" t="s">
        <v>89</v>
      </c>
      <c r="I39" s="534"/>
      <c r="J39" s="980">
        <v>7.4</v>
      </c>
      <c r="K39" s="528"/>
      <c r="L39" s="980">
        <v>7.4</v>
      </c>
      <c r="M39" s="534"/>
      <c r="N39" s="534"/>
      <c r="O39" s="964"/>
      <c r="P39" s="964"/>
      <c r="Q39" s="964"/>
      <c r="R39" s="965"/>
      <c r="S39" s="964"/>
      <c r="T39" s="964"/>
      <c r="U39" s="534"/>
      <c r="V39" s="534"/>
      <c r="W39" s="534"/>
      <c r="X39" s="896"/>
      <c r="Y39" s="724"/>
      <c r="Z39" s="724"/>
      <c r="AA39" s="724"/>
      <c r="AB39" s="724"/>
      <c r="AC39" s="724"/>
      <c r="AD39" s="724"/>
    </row>
    <row r="40" spans="1:30" ht="15">
      <c r="A40" s="534"/>
      <c r="B40" s="892"/>
      <c r="C40" s="534"/>
      <c r="D40" s="968"/>
      <c r="E40" s="968"/>
      <c r="F40" s="964"/>
      <c r="G40" s="964"/>
      <c r="H40" s="534" t="s">
        <v>83</v>
      </c>
      <c r="I40" s="534"/>
      <c r="J40" s="981">
        <v>19</v>
      </c>
      <c r="K40" s="528"/>
      <c r="L40" s="981">
        <v>10</v>
      </c>
      <c r="M40" s="534"/>
      <c r="N40" s="534"/>
      <c r="O40" s="964"/>
      <c r="P40" s="964"/>
      <c r="Q40" s="964"/>
      <c r="R40" s="965"/>
      <c r="S40" s="964"/>
      <c r="T40" s="964"/>
      <c r="U40" s="534"/>
      <c r="V40" s="534"/>
      <c r="W40" s="534"/>
      <c r="X40" s="896"/>
      <c r="Y40" s="724"/>
      <c r="Z40" s="724"/>
      <c r="AA40" s="724"/>
      <c r="AB40" s="724"/>
      <c r="AC40" s="724"/>
      <c r="AD40" s="724"/>
    </row>
    <row r="41" spans="1:30" ht="15">
      <c r="A41" s="534"/>
      <c r="B41" s="892"/>
      <c r="C41" s="534"/>
      <c r="D41" s="968"/>
      <c r="E41" s="968"/>
      <c r="F41" s="964"/>
      <c r="G41" s="964"/>
      <c r="H41" s="534" t="s">
        <v>148</v>
      </c>
      <c r="I41" s="534"/>
      <c r="J41" s="991">
        <f>[9]!g_(11,J40,J39)</f>
        <v>1.8226958050232487</v>
      </c>
      <c r="K41" s="528"/>
      <c r="L41" s="991">
        <f>[9]!g_(11,L40,L39)</f>
        <v>2.7169012363379759</v>
      </c>
      <c r="M41" s="534"/>
      <c r="N41" s="534"/>
      <c r="O41" s="964"/>
      <c r="P41" s="964"/>
      <c r="Q41" s="964"/>
      <c r="R41" s="965"/>
      <c r="S41" s="964"/>
      <c r="T41" s="964"/>
      <c r="U41" s="534"/>
      <c r="V41" s="534"/>
      <c r="W41" s="534"/>
      <c r="X41" s="896"/>
      <c r="Y41" s="724"/>
      <c r="Z41" s="724"/>
      <c r="AA41" s="724"/>
      <c r="AB41" s="724"/>
      <c r="AC41" s="724"/>
      <c r="AD41" s="724"/>
    </row>
    <row r="42" spans="1:30" ht="15">
      <c r="A42" s="534"/>
      <c r="B42" s="892"/>
      <c r="C42" s="534"/>
      <c r="D42" s="968"/>
      <c r="E42" s="968"/>
      <c r="F42" s="964"/>
      <c r="G42" s="964"/>
      <c r="H42" s="534" t="s">
        <v>96</v>
      </c>
      <c r="I42" s="534"/>
      <c r="J42" s="991">
        <v>0.8</v>
      </c>
      <c r="K42" s="528"/>
      <c r="L42" s="991">
        <v>0.8</v>
      </c>
      <c r="M42" s="534"/>
      <c r="N42" s="981"/>
      <c r="O42" s="964"/>
      <c r="P42" s="964"/>
      <c r="Q42" s="964"/>
      <c r="R42" s="965"/>
      <c r="S42" s="964"/>
      <c r="T42" s="964"/>
      <c r="U42" s="534"/>
      <c r="V42" s="534"/>
      <c r="W42" s="534"/>
      <c r="X42" s="896"/>
      <c r="Y42" s="724"/>
      <c r="Z42" s="724"/>
      <c r="AA42" s="724"/>
      <c r="AB42" s="724"/>
      <c r="AC42" s="724"/>
      <c r="AD42" s="724"/>
    </row>
    <row r="43" spans="1:30" ht="15">
      <c r="A43" s="534"/>
      <c r="B43" s="892"/>
      <c r="C43" s="534"/>
      <c r="D43" s="968"/>
      <c r="E43" s="968"/>
      <c r="F43" s="964"/>
      <c r="G43" s="964"/>
      <c r="H43" s="809" t="s">
        <v>862</v>
      </c>
      <c r="I43" s="528"/>
      <c r="J43" s="994">
        <f>[9]!Rho_(11,J40,J39)</f>
        <v>136.38358814504639</v>
      </c>
      <c r="K43" s="528"/>
      <c r="L43" s="994">
        <f>[9]!Rho_(11,L40,L39)</f>
        <v>106.04639438887415</v>
      </c>
      <c r="M43" s="534"/>
      <c r="N43" s="981"/>
      <c r="O43" s="964"/>
      <c r="P43" s="964"/>
      <c r="Q43" s="964"/>
      <c r="R43" s="965"/>
      <c r="S43" s="964"/>
      <c r="T43" s="964"/>
      <c r="U43" s="534"/>
      <c r="V43" s="534"/>
      <c r="W43" s="534"/>
      <c r="X43" s="896"/>
      <c r="Y43" s="724"/>
      <c r="Z43" s="724"/>
      <c r="AA43" s="724"/>
      <c r="AB43" s="724"/>
      <c r="AC43" s="724"/>
      <c r="AD43" s="724"/>
    </row>
    <row r="44" spans="1:30" ht="15">
      <c r="A44" s="534"/>
      <c r="B44" s="892"/>
      <c r="C44" s="534"/>
      <c r="D44" s="968"/>
      <c r="E44" s="968"/>
      <c r="F44" s="964"/>
      <c r="G44" s="964"/>
      <c r="H44" s="534" t="s">
        <v>863</v>
      </c>
      <c r="I44" s="534"/>
      <c r="J44" s="992">
        <v>25</v>
      </c>
      <c r="K44" s="528"/>
      <c r="L44" s="992">
        <v>25</v>
      </c>
      <c r="M44" s="534"/>
      <c r="N44" s="981"/>
      <c r="O44" s="964"/>
      <c r="P44" s="964"/>
      <c r="Q44" s="964"/>
      <c r="R44" s="965"/>
      <c r="S44" s="964"/>
      <c r="T44" s="964"/>
      <c r="U44" s="534"/>
      <c r="V44" s="534"/>
      <c r="W44" s="534"/>
      <c r="X44" s="896"/>
      <c r="Y44" s="724"/>
      <c r="Z44" s="724"/>
      <c r="AA44" s="724"/>
      <c r="AB44" s="724"/>
      <c r="AC44" s="724"/>
      <c r="AD44" s="724"/>
    </row>
    <row r="45" spans="1:30" ht="15">
      <c r="A45" s="534"/>
      <c r="B45" s="892"/>
      <c r="C45" s="534"/>
      <c r="D45" s="968"/>
      <c r="E45" s="968"/>
      <c r="F45" s="964"/>
      <c r="G45" s="964"/>
      <c r="H45" s="534" t="s">
        <v>864</v>
      </c>
      <c r="I45" s="534"/>
      <c r="J45" s="993">
        <f>PI()*(J44/2)^2</f>
        <v>490.87385212340519</v>
      </c>
      <c r="K45" s="528"/>
      <c r="L45" s="993">
        <f>PI()*(L44/2)^2</f>
        <v>490.87385212340519</v>
      </c>
      <c r="M45" s="534"/>
      <c r="N45" s="981"/>
      <c r="O45" s="964"/>
      <c r="P45" s="964"/>
      <c r="Q45" s="964"/>
      <c r="R45" s="965"/>
      <c r="S45" s="964"/>
      <c r="T45" s="964"/>
      <c r="U45" s="534"/>
      <c r="V45" s="534"/>
      <c r="W45" s="534"/>
      <c r="X45" s="896"/>
      <c r="Y45" s="724"/>
      <c r="Z45" s="724"/>
      <c r="AA45" s="724"/>
      <c r="AB45" s="724"/>
      <c r="AC45" s="724"/>
      <c r="AD45" s="724"/>
    </row>
    <row r="46" spans="1:30" ht="15">
      <c r="A46" s="534"/>
      <c r="B46" s="892"/>
      <c r="C46" s="534"/>
      <c r="D46" s="968"/>
      <c r="E46" s="968"/>
      <c r="F46" s="964"/>
      <c r="G46" s="964"/>
      <c r="H46" s="809" t="s">
        <v>210</v>
      </c>
      <c r="I46" s="528"/>
      <c r="J46" s="995">
        <f>1.138*(2/(J41+1))^(1/(J41-1))*((2*J41/(J41+1))^0.5)*J42*J45*(J40*J43)^0.5</f>
        <v>17006.597123919175</v>
      </c>
      <c r="K46" s="528"/>
      <c r="L46" s="995">
        <f>1.138*(2/(L41+1))^(1/(L41-1))*((2*L41/(L41+1))^0.5)*L42*L45*(L40*L43)^0.5</f>
        <v>12264.389358600583</v>
      </c>
      <c r="M46" s="534"/>
      <c r="N46" s="981"/>
      <c r="O46" s="964"/>
      <c r="P46" s="964"/>
      <c r="Q46" s="964"/>
      <c r="R46" s="965"/>
      <c r="S46" s="964"/>
      <c r="T46" s="964"/>
      <c r="U46" s="534"/>
      <c r="V46" s="534"/>
      <c r="W46" s="534"/>
      <c r="X46" s="896"/>
      <c r="Y46" s="724"/>
      <c r="Z46" s="724"/>
      <c r="AA46" s="724"/>
      <c r="AB46" s="724"/>
      <c r="AC46" s="724"/>
      <c r="AD46" s="724"/>
    </row>
    <row r="47" spans="1:30" ht="15">
      <c r="A47" s="534"/>
      <c r="B47" s="892"/>
      <c r="C47" s="534"/>
      <c r="D47" s="968"/>
      <c r="E47" s="968"/>
      <c r="F47" s="964"/>
      <c r="G47" s="964"/>
      <c r="H47" s="534"/>
      <c r="I47" s="534"/>
      <c r="J47" s="996">
        <f>+J46/3.6</f>
        <v>4724.0547566442156</v>
      </c>
      <c r="K47" s="528"/>
      <c r="L47" s="996">
        <f>+L46/3.6</f>
        <v>3406.7748218334955</v>
      </c>
      <c r="M47" s="534"/>
      <c r="N47" s="981"/>
      <c r="O47" s="964"/>
      <c r="P47" s="964"/>
      <c r="Q47" s="964"/>
      <c r="R47" s="965"/>
      <c r="S47" s="964"/>
      <c r="T47" s="964"/>
      <c r="U47" s="534"/>
      <c r="V47" s="534"/>
      <c r="W47" s="534"/>
      <c r="X47" s="896"/>
      <c r="Y47" s="724"/>
      <c r="Z47" s="724"/>
      <c r="AA47" s="724"/>
      <c r="AB47" s="724"/>
      <c r="AC47" s="724"/>
      <c r="AD47" s="724"/>
    </row>
    <row r="48" spans="1:30" ht="15">
      <c r="A48" s="534"/>
      <c r="B48" s="892"/>
      <c r="C48" s="534"/>
      <c r="D48" s="968"/>
      <c r="E48" s="968"/>
      <c r="F48" s="964"/>
      <c r="G48" s="964"/>
      <c r="H48" s="534"/>
      <c r="I48" s="534"/>
      <c r="J48" s="993"/>
      <c r="K48" s="528"/>
      <c r="L48" s="534"/>
      <c r="M48" s="534"/>
      <c r="N48" s="981"/>
      <c r="O48" s="964"/>
      <c r="P48" s="964"/>
      <c r="Q48" s="964"/>
      <c r="R48" s="965"/>
      <c r="S48" s="964"/>
      <c r="T48" s="964"/>
      <c r="U48" s="534"/>
      <c r="V48" s="534"/>
      <c r="W48" s="534"/>
      <c r="X48" s="896"/>
      <c r="Y48" s="724"/>
      <c r="Z48" s="724"/>
      <c r="AA48" s="724"/>
      <c r="AB48" s="724"/>
      <c r="AC48" s="724"/>
      <c r="AD48" s="724"/>
    </row>
    <row r="49" spans="1:30" ht="15">
      <c r="A49" s="534"/>
      <c r="B49" s="892"/>
      <c r="C49" s="534"/>
      <c r="D49" s="847"/>
      <c r="E49" s="847"/>
      <c r="F49" s="964"/>
      <c r="G49" s="964"/>
      <c r="H49" s="534"/>
      <c r="I49" s="534"/>
      <c r="J49" s="993"/>
      <c r="K49" s="528"/>
      <c r="L49" s="534"/>
      <c r="M49" s="534"/>
      <c r="N49" s="981"/>
      <c r="O49" s="964"/>
      <c r="P49" s="964"/>
      <c r="Q49" s="964"/>
      <c r="R49" s="965"/>
      <c r="S49" s="964"/>
      <c r="T49" s="964"/>
      <c r="U49" s="534"/>
      <c r="V49" s="534"/>
      <c r="W49" s="534"/>
      <c r="X49" s="896"/>
      <c r="Y49" s="724"/>
      <c r="Z49" s="724"/>
      <c r="AA49" s="724"/>
      <c r="AB49" s="724"/>
      <c r="AC49" s="724"/>
      <c r="AD49" s="724"/>
    </row>
    <row r="50" spans="1:30" ht="15.75">
      <c r="A50" s="534"/>
      <c r="B50" s="892"/>
      <c r="C50" s="534"/>
      <c r="D50" s="847"/>
      <c r="E50" s="966"/>
      <c r="F50" s="966"/>
      <c r="G50" s="964"/>
      <c r="H50" s="534"/>
      <c r="I50" s="534"/>
      <c r="J50" s="993"/>
      <c r="K50" s="528"/>
      <c r="L50" s="534"/>
      <c r="M50" s="534"/>
      <c r="N50" s="981"/>
      <c r="O50" s="966"/>
      <c r="P50" s="966"/>
      <c r="Q50" s="964"/>
      <c r="R50" s="964"/>
      <c r="S50" s="964"/>
      <c r="T50" s="964"/>
      <c r="U50" s="534"/>
      <c r="V50" s="534"/>
      <c r="W50" s="534"/>
      <c r="X50" s="896"/>
      <c r="Y50" s="724"/>
      <c r="Z50" s="724"/>
      <c r="AA50" s="724"/>
      <c r="AB50" s="724"/>
      <c r="AC50" s="724"/>
      <c r="AD50" s="724"/>
    </row>
    <row r="51" spans="1:30" ht="15.75">
      <c r="A51" s="534"/>
      <c r="B51" s="892"/>
      <c r="C51" s="534"/>
      <c r="D51" s="847"/>
      <c r="E51" s="966"/>
      <c r="F51" s="966"/>
      <c r="G51" s="964"/>
      <c r="H51" s="534"/>
      <c r="I51" s="534"/>
      <c r="J51" s="993"/>
      <c r="K51" s="528"/>
      <c r="L51" s="534"/>
      <c r="M51" s="534"/>
      <c r="N51" s="981"/>
      <c r="O51" s="966"/>
      <c r="P51" s="966"/>
      <c r="Q51" s="964"/>
      <c r="R51" s="964"/>
      <c r="S51" s="964"/>
      <c r="T51" s="964"/>
      <c r="U51" s="534"/>
      <c r="V51" s="534"/>
      <c r="W51" s="534"/>
      <c r="X51" s="896"/>
      <c r="Y51" s="724"/>
      <c r="Z51" s="724"/>
      <c r="AA51" s="724"/>
      <c r="AB51" s="724"/>
      <c r="AC51" s="724"/>
      <c r="AD51" s="724"/>
    </row>
    <row r="52" spans="1:30" ht="15.75">
      <c r="A52" s="534"/>
      <c r="B52" s="892"/>
      <c r="C52" s="534"/>
      <c r="D52" s="847"/>
      <c r="E52" s="966"/>
      <c r="F52" s="966"/>
      <c r="G52" s="964"/>
      <c r="H52" s="534"/>
      <c r="I52" s="534"/>
      <c r="J52" s="993"/>
      <c r="K52" s="528"/>
      <c r="L52" s="534"/>
      <c r="M52" s="534"/>
      <c r="N52" s="981"/>
      <c r="O52" s="966"/>
      <c r="P52" s="966"/>
      <c r="Q52" s="964"/>
      <c r="R52" s="964"/>
      <c r="S52" s="964"/>
      <c r="T52" s="964"/>
      <c r="U52" s="534"/>
      <c r="V52" s="534"/>
      <c r="W52" s="534"/>
      <c r="X52" s="896"/>
      <c r="Y52" s="724"/>
      <c r="Z52" s="724"/>
      <c r="AA52" s="724"/>
      <c r="AB52" s="724"/>
      <c r="AC52" s="724"/>
      <c r="AD52" s="724"/>
    </row>
    <row r="53" spans="1:30" ht="15.75">
      <c r="A53" s="534"/>
      <c r="B53" s="892"/>
      <c r="C53" s="534"/>
      <c r="D53" s="847"/>
      <c r="E53" s="966"/>
      <c r="F53" s="966"/>
      <c r="G53" s="997"/>
      <c r="H53" s="998"/>
      <c r="I53" s="998"/>
      <c r="J53" s="999" t="s">
        <v>642</v>
      </c>
      <c r="K53" s="998"/>
      <c r="L53" s="998"/>
      <c r="M53" s="1000" t="s">
        <v>872</v>
      </c>
      <c r="N53" s="998"/>
      <c r="O53" s="1023" t="s">
        <v>873</v>
      </c>
      <c r="P53" s="966"/>
      <c r="Q53" s="964"/>
      <c r="R53" s="964"/>
      <c r="S53" s="964"/>
      <c r="T53" s="964"/>
      <c r="U53" s="534"/>
      <c r="V53" s="534"/>
      <c r="W53" s="534"/>
      <c r="X53" s="896"/>
      <c r="Y53" s="724"/>
      <c r="Z53" s="724"/>
      <c r="AA53" s="724"/>
      <c r="AB53" s="724"/>
      <c r="AC53" s="724"/>
      <c r="AD53" s="724"/>
    </row>
    <row r="54" spans="1:30" ht="15.75">
      <c r="A54" s="534"/>
      <c r="B54" s="892"/>
      <c r="C54" s="534"/>
      <c r="D54" s="847"/>
      <c r="E54" s="966"/>
      <c r="F54" s="966"/>
      <c r="G54" s="1001" t="s">
        <v>152</v>
      </c>
      <c r="H54" s="94"/>
      <c r="I54" s="94"/>
      <c r="J54" s="1002"/>
      <c r="K54" s="94"/>
      <c r="L54" s="94"/>
      <c r="M54" s="1003">
        <f>[9]!FConstant(11,12)</f>
        <v>4.0026000000000002</v>
      </c>
      <c r="N54" s="94"/>
      <c r="O54" s="1024"/>
      <c r="P54" s="966"/>
      <c r="Q54" s="964"/>
      <c r="R54" s="964"/>
      <c r="S54" s="964"/>
      <c r="T54" s="964"/>
      <c r="U54" s="534"/>
      <c r="V54" s="534"/>
      <c r="W54" s="534"/>
      <c r="X54" s="896"/>
      <c r="Y54" s="724"/>
      <c r="Z54" s="724"/>
      <c r="AA54" s="724"/>
      <c r="AB54" s="724"/>
      <c r="AC54" s="724"/>
      <c r="AD54" s="724"/>
    </row>
    <row r="55" spans="1:30" ht="15.75">
      <c r="A55" s="534"/>
      <c r="B55" s="892"/>
      <c r="C55" s="534"/>
      <c r="D55" s="847"/>
      <c r="E55" s="966"/>
      <c r="F55" s="966"/>
      <c r="G55" s="1001" t="s">
        <v>865</v>
      </c>
      <c r="H55" s="94"/>
      <c r="I55" s="1004"/>
      <c r="J55" s="1004"/>
      <c r="K55" s="1004" t="s">
        <v>866</v>
      </c>
      <c r="L55" s="94"/>
      <c r="M55" s="1005">
        <v>3</v>
      </c>
      <c r="N55" s="94"/>
      <c r="O55" s="1025">
        <f>M55*14.5032</f>
        <v>43.509599999999999</v>
      </c>
      <c r="P55" s="966"/>
      <c r="Q55" s="964"/>
      <c r="R55" s="964"/>
      <c r="S55" s="964"/>
      <c r="T55" s="964"/>
      <c r="U55" s="534"/>
      <c r="V55" s="534"/>
      <c r="W55" s="534"/>
      <c r="X55" s="896"/>
      <c r="Y55" s="724"/>
      <c r="Z55" s="724"/>
      <c r="AA55" s="724"/>
      <c r="AB55" s="724"/>
      <c r="AC55" s="724"/>
      <c r="AD55" s="724"/>
    </row>
    <row r="56" spans="1:30" ht="15.75">
      <c r="A56" s="534"/>
      <c r="B56" s="892"/>
      <c r="C56" s="534"/>
      <c r="D56" s="847"/>
      <c r="E56" s="966"/>
      <c r="F56" s="966"/>
      <c r="G56" s="1001" t="s">
        <v>874</v>
      </c>
      <c r="H56" s="94"/>
      <c r="I56" s="1004"/>
      <c r="J56" s="1004"/>
      <c r="K56" s="1004" t="s">
        <v>98</v>
      </c>
      <c r="L56" s="94"/>
      <c r="M56" s="1006">
        <f>(M55+1)*1.23</f>
        <v>4.92</v>
      </c>
      <c r="N56" s="94"/>
      <c r="O56" s="1025">
        <f>M56*14.5032</f>
        <v>71.355744000000001</v>
      </c>
      <c r="P56" s="966"/>
      <c r="Q56" s="964"/>
      <c r="R56" s="964"/>
      <c r="S56" s="964"/>
      <c r="T56" s="964"/>
      <c r="U56" s="534"/>
      <c r="V56" s="534"/>
      <c r="W56" s="534"/>
      <c r="X56" s="896"/>
      <c r="Y56" s="724"/>
      <c r="Z56" s="724"/>
      <c r="AA56" s="724"/>
      <c r="AB56" s="724"/>
      <c r="AC56" s="724"/>
      <c r="AD56" s="724"/>
    </row>
    <row r="57" spans="1:30" ht="15.75">
      <c r="A57" s="534"/>
      <c r="B57" s="892"/>
      <c r="C57" s="534"/>
      <c r="D57" s="847"/>
      <c r="E57" s="966"/>
      <c r="F57" s="966"/>
      <c r="G57" s="1001" t="s">
        <v>867</v>
      </c>
      <c r="H57" s="94"/>
      <c r="I57" s="1004"/>
      <c r="J57" s="1004"/>
      <c r="K57" s="1004" t="s">
        <v>241</v>
      </c>
      <c r="L57" s="94"/>
      <c r="M57" s="1007">
        <v>7.4</v>
      </c>
      <c r="N57" s="94"/>
      <c r="O57" s="1026">
        <f>(M57-273.15)*1.8+32+460</f>
        <v>13.649999999999977</v>
      </c>
      <c r="P57" s="966"/>
      <c r="Q57" s="964"/>
      <c r="R57" s="964"/>
      <c r="S57" s="964"/>
      <c r="T57" s="964"/>
      <c r="U57" s="534"/>
      <c r="V57" s="534"/>
      <c r="W57" s="534"/>
      <c r="X57" s="896"/>
      <c r="Y57" s="724"/>
      <c r="Z57" s="724"/>
      <c r="AA57" s="724"/>
      <c r="AB57" s="724"/>
      <c r="AC57" s="724"/>
      <c r="AD57" s="724"/>
    </row>
    <row r="58" spans="1:30" ht="15.75">
      <c r="A58" s="534"/>
      <c r="B58" s="892"/>
      <c r="C58" s="534"/>
      <c r="D58" s="847"/>
      <c r="E58" s="966"/>
      <c r="F58" s="966"/>
      <c r="G58" s="1008" t="s">
        <v>875</v>
      </c>
      <c r="H58" s="94"/>
      <c r="I58" s="1009"/>
      <c r="J58" s="1009"/>
      <c r="K58" s="1009" t="s">
        <v>216</v>
      </c>
      <c r="L58" s="94"/>
      <c r="M58" s="1010">
        <f>[9]!FluidProperties(11,1,M56*100000,2,M57,20,0,1)</f>
        <v>0.6538318928957777</v>
      </c>
      <c r="N58" s="94"/>
      <c r="O58" s="1027"/>
      <c r="P58" s="966"/>
      <c r="Q58" s="964"/>
      <c r="R58" s="964"/>
      <c r="S58" s="964"/>
      <c r="T58" s="964"/>
      <c r="U58" s="534"/>
      <c r="V58" s="534"/>
      <c r="W58" s="534"/>
      <c r="X58" s="896"/>
      <c r="Y58" s="724"/>
      <c r="Z58" s="724"/>
      <c r="AA58" s="724"/>
      <c r="AB58" s="724"/>
      <c r="AC58" s="724"/>
      <c r="AD58" s="724"/>
    </row>
    <row r="59" spans="1:30" ht="15.75">
      <c r="A59" s="534"/>
      <c r="B59" s="892"/>
      <c r="C59" s="534"/>
      <c r="D59" s="847"/>
      <c r="E59" s="966"/>
      <c r="F59" s="966"/>
      <c r="G59" s="1008" t="s">
        <v>868</v>
      </c>
      <c r="H59" s="94"/>
      <c r="I59" s="1009"/>
      <c r="J59" s="1009"/>
      <c r="K59" s="1009" t="s">
        <v>869</v>
      </c>
      <c r="L59" s="94"/>
      <c r="M59" s="1010">
        <f>[9]!FluidProperties(11,1,101325,2,288.7,11,0,1)</f>
        <v>1.6665401642611213</v>
      </c>
      <c r="N59" s="94"/>
      <c r="O59" s="1027"/>
      <c r="P59" s="966"/>
      <c r="Q59" s="964"/>
      <c r="R59" s="964"/>
      <c r="S59" s="964"/>
      <c r="T59" s="964"/>
      <c r="U59" s="534"/>
      <c r="V59" s="534"/>
      <c r="W59" s="534"/>
      <c r="X59" s="896"/>
      <c r="Y59" s="724"/>
      <c r="Z59" s="724"/>
      <c r="AA59" s="724"/>
      <c r="AB59" s="724"/>
      <c r="AC59" s="724"/>
      <c r="AD59" s="724"/>
    </row>
    <row r="60" spans="1:30" ht="15.75">
      <c r="A60" s="534"/>
      <c r="B60" s="892"/>
      <c r="C60" s="534"/>
      <c r="D60" s="847"/>
      <c r="E60" s="966"/>
      <c r="F60" s="966"/>
      <c r="G60" s="1008" t="s">
        <v>870</v>
      </c>
      <c r="H60" s="94"/>
      <c r="I60" s="1009"/>
      <c r="J60" s="1009"/>
      <c r="K60" s="1009" t="s">
        <v>871</v>
      </c>
      <c r="L60" s="94"/>
      <c r="M60" s="1011">
        <f>520*SQRT(M59*(2/(M59+1))^((M59+1)/(M59-1)))</f>
        <v>377.60645175665746</v>
      </c>
      <c r="N60" s="94"/>
      <c r="O60" s="1027"/>
      <c r="P60" s="966"/>
      <c r="Q60" s="964"/>
      <c r="R60" s="964"/>
      <c r="S60" s="964"/>
      <c r="T60" s="964"/>
      <c r="U60" s="534"/>
      <c r="V60" s="534"/>
      <c r="W60" s="534"/>
      <c r="X60" s="896"/>
      <c r="Y60" s="724"/>
      <c r="Z60" s="724"/>
      <c r="AA60" s="724"/>
      <c r="AB60" s="724"/>
      <c r="AC60" s="724"/>
      <c r="AD60" s="724"/>
    </row>
    <row r="61" spans="1:30" ht="15.75">
      <c r="A61" s="534"/>
      <c r="B61" s="892"/>
      <c r="C61" s="534"/>
      <c r="D61" s="847"/>
      <c r="E61" s="966"/>
      <c r="F61" s="966"/>
      <c r="G61" s="1008" t="s">
        <v>876</v>
      </c>
      <c r="H61" s="94"/>
      <c r="I61" s="1009"/>
      <c r="J61" s="1009"/>
      <c r="K61" s="1009" t="s">
        <v>242</v>
      </c>
      <c r="L61" s="94"/>
      <c r="M61" s="1012">
        <f>O61*16.02</f>
        <v>1.2271319999999999</v>
      </c>
      <c r="N61" s="94"/>
      <c r="O61" s="1028">
        <v>7.6600000000000001E-2</v>
      </c>
      <c r="P61" s="966"/>
      <c r="Q61" s="964"/>
      <c r="R61" s="964"/>
      <c r="S61" s="964"/>
      <c r="T61" s="964"/>
      <c r="U61" s="534"/>
      <c r="V61" s="534"/>
      <c r="W61" s="534"/>
      <c r="X61" s="896"/>
      <c r="Y61" s="724"/>
      <c r="Z61" s="724"/>
      <c r="AA61" s="724"/>
      <c r="AB61" s="724"/>
      <c r="AC61" s="724"/>
      <c r="AD61" s="724"/>
    </row>
    <row r="62" spans="1:30" ht="15.75">
      <c r="A62" s="534"/>
      <c r="B62" s="892"/>
      <c r="C62" s="534"/>
      <c r="D62" s="847"/>
      <c r="E62" s="966"/>
      <c r="F62" s="966"/>
      <c r="G62" s="1008" t="s">
        <v>877</v>
      </c>
      <c r="H62" s="94"/>
      <c r="I62" s="1009"/>
      <c r="J62" s="1009"/>
      <c r="K62" s="1009" t="s">
        <v>878</v>
      </c>
      <c r="L62" s="94"/>
      <c r="M62" s="1013">
        <f>M63/M61</f>
        <v>4605.0843629415494</v>
      </c>
      <c r="N62" s="94"/>
      <c r="O62" s="1029">
        <f>O63/O61/60</f>
        <v>2710.6647374457521</v>
      </c>
      <c r="P62" s="966"/>
      <c r="Q62" s="964"/>
      <c r="R62" s="964"/>
      <c r="S62" s="964"/>
      <c r="T62" s="964"/>
      <c r="U62" s="534"/>
      <c r="V62" s="534"/>
      <c r="W62" s="534"/>
      <c r="X62" s="896"/>
      <c r="Y62" s="724"/>
      <c r="Z62" s="724"/>
      <c r="AA62" s="724"/>
      <c r="AB62" s="724"/>
      <c r="AC62" s="724"/>
      <c r="AD62" s="724"/>
    </row>
    <row r="63" spans="1:30" ht="15.75">
      <c r="A63" s="534"/>
      <c r="B63" s="892"/>
      <c r="C63" s="534"/>
      <c r="D63" s="847"/>
      <c r="E63" s="966"/>
      <c r="F63" s="966"/>
      <c r="G63" s="1001" t="s">
        <v>877</v>
      </c>
      <c r="H63" s="94"/>
      <c r="I63" s="1004"/>
      <c r="J63" s="1004"/>
      <c r="K63" s="1004" t="s">
        <v>879</v>
      </c>
      <c r="L63" s="94"/>
      <c r="M63" s="1014">
        <f>O63/2.20458553791887</f>
        <v>5651.0463844651895</v>
      </c>
      <c r="N63" s="94"/>
      <c r="O63" s="1030">
        <f>356*M65*O66*O56*SQRT(28.97/520)</f>
        <v>12458.215133300677</v>
      </c>
      <c r="P63" s="966"/>
      <c r="Q63" s="964"/>
      <c r="R63" s="964"/>
      <c r="S63" s="964"/>
      <c r="T63" s="964"/>
      <c r="U63" s="534"/>
      <c r="V63" s="534"/>
      <c r="W63" s="534"/>
      <c r="X63" s="896"/>
      <c r="Y63" s="724"/>
      <c r="Z63" s="724"/>
      <c r="AA63" s="724"/>
      <c r="AB63" s="724"/>
      <c r="AC63" s="724"/>
      <c r="AD63" s="724"/>
    </row>
    <row r="64" spans="1:30" ht="15.75">
      <c r="A64" s="534"/>
      <c r="B64" s="892"/>
      <c r="C64" s="534"/>
      <c r="D64" s="847"/>
      <c r="E64" s="966"/>
      <c r="F64" s="966"/>
      <c r="G64" s="1001" t="s">
        <v>880</v>
      </c>
      <c r="H64" s="94"/>
      <c r="I64" s="1004"/>
      <c r="J64" s="1004"/>
      <c r="K64" s="1004" t="s">
        <v>226</v>
      </c>
      <c r="L64" s="94"/>
      <c r="M64" s="1015">
        <f>J46</f>
        <v>17006.597123919175</v>
      </c>
      <c r="N64" s="94"/>
      <c r="O64" s="1030">
        <f>M64*2.20458553791887</f>
        <v>37492.498068604866</v>
      </c>
      <c r="P64" s="966"/>
      <c r="Q64" s="964"/>
      <c r="R64" s="964"/>
      <c r="S64" s="964"/>
      <c r="T64" s="964"/>
      <c r="U64" s="534"/>
      <c r="V64" s="534"/>
      <c r="W64" s="534"/>
      <c r="X64" s="896"/>
      <c r="Y64" s="724"/>
      <c r="Z64" s="724"/>
      <c r="AA64" s="724"/>
      <c r="AB64" s="724"/>
      <c r="AC64" s="724"/>
      <c r="AD64" s="724"/>
    </row>
    <row r="65" spans="1:30" ht="15.75">
      <c r="A65" s="534"/>
      <c r="B65" s="892"/>
      <c r="C65" s="534"/>
      <c r="D65" s="847"/>
      <c r="E65" s="966"/>
      <c r="F65" s="966"/>
      <c r="G65" s="1001" t="s">
        <v>881</v>
      </c>
      <c r="H65" s="94"/>
      <c r="I65" s="1004"/>
      <c r="J65" s="1004"/>
      <c r="K65" s="1004" t="s">
        <v>96</v>
      </c>
      <c r="L65" s="94"/>
      <c r="M65" s="1016">
        <v>0.7</v>
      </c>
      <c r="N65" s="94"/>
      <c r="O65" s="1031"/>
      <c r="P65" s="966"/>
      <c r="Q65" s="964"/>
      <c r="R65" s="964"/>
      <c r="S65" s="964"/>
      <c r="T65" s="964"/>
      <c r="U65" s="534"/>
      <c r="V65" s="534"/>
      <c r="W65" s="534"/>
      <c r="X65" s="896"/>
      <c r="Y65" s="724"/>
      <c r="Z65" s="724"/>
      <c r="AA65" s="724"/>
      <c r="AB65" s="724"/>
      <c r="AC65" s="724"/>
      <c r="AD65" s="724"/>
    </row>
    <row r="66" spans="1:30" ht="15.75">
      <c r="A66" s="534"/>
      <c r="B66" s="892"/>
      <c r="C66" s="534"/>
      <c r="D66" s="847"/>
      <c r="E66" s="966"/>
      <c r="F66" s="966"/>
      <c r="G66" s="1017" t="s">
        <v>882</v>
      </c>
      <c r="H66" s="94"/>
      <c r="I66" s="1018"/>
      <c r="J66" s="1018"/>
      <c r="K66" s="1018" t="s">
        <v>883</v>
      </c>
      <c r="L66" s="94"/>
      <c r="M66" s="1019">
        <f>O66*645</f>
        <v>1914.546806223213</v>
      </c>
      <c r="N66" s="94"/>
      <c r="O66" s="1032">
        <f>O64/M65/M60/O56*SQRT(M58*O57/M54)</f>
        <v>2.9682896220514929</v>
      </c>
      <c r="P66" s="966"/>
      <c r="Q66" s="964"/>
      <c r="R66" s="964"/>
      <c r="S66" s="964"/>
      <c r="T66" s="964"/>
      <c r="U66" s="534"/>
      <c r="V66" s="534"/>
      <c r="W66" s="534"/>
      <c r="X66" s="896"/>
      <c r="Y66" s="724"/>
      <c r="Z66" s="724"/>
      <c r="AA66" s="724"/>
      <c r="AB66" s="724"/>
      <c r="AC66" s="724"/>
      <c r="AD66" s="724"/>
    </row>
    <row r="67" spans="1:30" ht="15.75">
      <c r="A67" s="534"/>
      <c r="B67" s="892"/>
      <c r="C67" s="534"/>
      <c r="D67" s="847"/>
      <c r="E67" s="966"/>
      <c r="F67" s="966"/>
      <c r="G67" s="1020" t="s">
        <v>884</v>
      </c>
      <c r="H67" s="182"/>
      <c r="I67" s="1021"/>
      <c r="J67" s="1021"/>
      <c r="K67" s="1021" t="s">
        <v>863</v>
      </c>
      <c r="L67" s="182"/>
      <c r="M67" s="1022">
        <f>SQRT(4*M66/PI())</f>
        <v>49.372833663157351</v>
      </c>
      <c r="N67" s="182"/>
      <c r="O67" s="1033">
        <f>SQRT(4*O66/PI())</f>
        <v>1.9440534269980727</v>
      </c>
      <c r="P67" s="966"/>
      <c r="Q67" s="964"/>
      <c r="R67" s="964"/>
      <c r="S67" s="964"/>
      <c r="T67" s="964"/>
      <c r="U67" s="534"/>
      <c r="V67" s="534"/>
      <c r="W67" s="534"/>
      <c r="X67" s="896"/>
      <c r="Y67" s="724"/>
      <c r="Z67" s="724"/>
      <c r="AA67" s="724"/>
      <c r="AB67" s="724"/>
      <c r="AC67" s="724"/>
      <c r="AD67" s="724"/>
    </row>
    <row r="68" spans="1:30" ht="15.75">
      <c r="A68" s="534"/>
      <c r="B68" s="892"/>
      <c r="C68" s="534"/>
      <c r="D68" s="847"/>
      <c r="E68" s="966"/>
      <c r="F68" s="966"/>
      <c r="G68" s="964"/>
      <c r="H68" s="534"/>
      <c r="I68" s="534"/>
      <c r="J68" s="993"/>
      <c r="K68" s="528"/>
      <c r="L68" s="534"/>
      <c r="M68" s="534"/>
      <c r="N68" s="981"/>
      <c r="O68" s="966"/>
      <c r="P68" s="966"/>
      <c r="Q68" s="964"/>
      <c r="R68" s="964"/>
      <c r="S68" s="964"/>
      <c r="T68" s="964"/>
      <c r="U68" s="534"/>
      <c r="V68" s="534"/>
      <c r="W68" s="534"/>
      <c r="X68" s="896"/>
      <c r="Y68" s="724"/>
      <c r="Z68" s="724"/>
      <c r="AA68" s="724"/>
      <c r="AB68" s="724"/>
      <c r="AC68" s="724"/>
      <c r="AD68" s="724"/>
    </row>
    <row r="69" spans="1:30" ht="15.75">
      <c r="A69" s="534"/>
      <c r="B69" s="892"/>
      <c r="C69" s="534"/>
      <c r="D69" s="847"/>
      <c r="E69" s="966"/>
      <c r="F69" s="966"/>
      <c r="G69" s="964"/>
      <c r="H69" s="534"/>
      <c r="I69" s="534"/>
      <c r="J69" s="993"/>
      <c r="K69" s="528"/>
      <c r="L69" s="534"/>
      <c r="M69" s="534"/>
      <c r="N69" s="981"/>
      <c r="O69" s="966"/>
      <c r="P69" s="966"/>
      <c r="Q69" s="964"/>
      <c r="R69" s="964"/>
      <c r="S69" s="964"/>
      <c r="T69" s="964"/>
      <c r="U69" s="534"/>
      <c r="V69" s="534"/>
      <c r="W69" s="534"/>
      <c r="X69" s="896"/>
      <c r="Y69" s="724"/>
      <c r="Z69" s="724"/>
      <c r="AA69" s="724"/>
      <c r="AB69" s="724"/>
      <c r="AC69" s="724"/>
      <c r="AD69" s="724"/>
    </row>
    <row r="70" spans="1:30" ht="15.75">
      <c r="A70" s="534"/>
      <c r="B70" s="892"/>
      <c r="C70" s="534"/>
      <c r="D70" s="847"/>
      <c r="E70" s="966"/>
      <c r="F70" s="966"/>
      <c r="G70" s="964"/>
      <c r="H70" s="534"/>
      <c r="I70" s="534"/>
      <c r="J70" s="993"/>
      <c r="K70" s="528"/>
      <c r="L70" s="534"/>
      <c r="M70" s="534"/>
      <c r="N70" s="981"/>
      <c r="O70" s="966"/>
      <c r="P70" s="966"/>
      <c r="Q70" s="964"/>
      <c r="R70" s="964"/>
      <c r="S70" s="964"/>
      <c r="T70" s="964"/>
      <c r="U70" s="534"/>
      <c r="V70" s="534"/>
      <c r="W70" s="534"/>
      <c r="X70" s="896"/>
      <c r="Y70" s="724"/>
      <c r="Z70" s="724"/>
      <c r="AA70" s="724"/>
      <c r="AB70" s="724"/>
      <c r="AC70" s="724"/>
      <c r="AD70" s="724"/>
    </row>
    <row r="71" spans="1:30" ht="15.75">
      <c r="A71" s="534"/>
      <c r="B71" s="892"/>
      <c r="C71" s="534"/>
      <c r="D71" s="847"/>
      <c r="E71" s="966"/>
      <c r="F71" s="966"/>
      <c r="G71" s="964"/>
      <c r="H71" s="534"/>
      <c r="I71" s="534"/>
      <c r="J71" s="993"/>
      <c r="K71" s="528"/>
      <c r="L71" s="534"/>
      <c r="M71" s="534"/>
      <c r="N71" s="981"/>
      <c r="O71" s="966"/>
      <c r="P71" s="966"/>
      <c r="Q71" s="964"/>
      <c r="R71" s="964"/>
      <c r="S71" s="964"/>
      <c r="T71" s="964"/>
      <c r="U71" s="534"/>
      <c r="V71" s="534"/>
      <c r="W71" s="534"/>
      <c r="X71" s="896"/>
      <c r="Y71" s="724"/>
      <c r="Z71" s="724"/>
      <c r="AA71" s="724"/>
      <c r="AB71" s="724"/>
      <c r="AC71" s="724"/>
      <c r="AD71" s="724"/>
    </row>
    <row r="72" spans="1:30" ht="15.75">
      <c r="A72" s="534"/>
      <c r="B72" s="892"/>
      <c r="C72" s="534"/>
      <c r="D72" s="847"/>
      <c r="E72" s="966"/>
      <c r="F72" s="966"/>
      <c r="G72" s="964"/>
      <c r="H72" s="534"/>
      <c r="I72" s="534"/>
      <c r="J72" s="993"/>
      <c r="K72" s="528"/>
      <c r="L72" s="534"/>
      <c r="M72" s="534"/>
      <c r="N72" s="981"/>
      <c r="O72" s="966"/>
      <c r="P72" s="966"/>
      <c r="Q72" s="964"/>
      <c r="R72" s="964"/>
      <c r="S72" s="964"/>
      <c r="T72" s="964"/>
      <c r="U72" s="534"/>
      <c r="V72" s="534"/>
      <c r="W72" s="534"/>
      <c r="X72" s="896"/>
      <c r="Y72" s="724"/>
      <c r="Z72" s="724"/>
      <c r="AA72" s="724"/>
      <c r="AB72" s="724"/>
      <c r="AC72" s="724"/>
      <c r="AD72" s="724"/>
    </row>
    <row r="73" spans="1:30" ht="15.75">
      <c r="A73" s="534"/>
      <c r="B73" s="892"/>
      <c r="C73" s="534"/>
      <c r="D73" s="847"/>
      <c r="E73" s="966"/>
      <c r="F73" s="966"/>
      <c r="G73" s="966"/>
      <c r="H73" s="966"/>
      <c r="I73" s="966"/>
      <c r="J73" s="966"/>
      <c r="K73" s="966"/>
      <c r="L73" s="966"/>
      <c r="M73" s="966"/>
      <c r="N73" s="966"/>
      <c r="O73" s="966"/>
      <c r="P73" s="966"/>
      <c r="Q73" s="964"/>
      <c r="R73" s="964"/>
      <c r="S73" s="964"/>
      <c r="T73" s="964"/>
      <c r="U73" s="534"/>
      <c r="V73" s="534"/>
      <c r="W73" s="534"/>
      <c r="X73" s="896"/>
      <c r="Y73" s="724"/>
      <c r="Z73" s="724"/>
      <c r="AA73" s="724"/>
      <c r="AB73" s="724"/>
      <c r="AC73" s="724"/>
      <c r="AD73" s="724"/>
    </row>
    <row r="74" spans="1:30" ht="15.75">
      <c r="A74" s="534"/>
      <c r="B74" s="892"/>
      <c r="C74" s="534"/>
      <c r="D74" s="847"/>
      <c r="E74" s="966"/>
      <c r="F74" s="966"/>
      <c r="G74" s="966"/>
      <c r="H74" s="966"/>
      <c r="I74" s="966"/>
      <c r="J74" s="966"/>
      <c r="K74" s="966"/>
      <c r="L74" s="966"/>
      <c r="M74" s="966"/>
      <c r="N74" s="966"/>
      <c r="O74" s="966"/>
      <c r="P74" s="966"/>
      <c r="Q74" s="964"/>
      <c r="R74" s="964"/>
      <c r="S74" s="964"/>
      <c r="T74" s="964"/>
      <c r="U74" s="534"/>
      <c r="V74" s="534"/>
      <c r="W74" s="534"/>
      <c r="X74" s="896"/>
      <c r="Y74" s="724"/>
      <c r="Z74" s="724"/>
      <c r="AA74" s="724"/>
      <c r="AB74" s="724"/>
      <c r="AC74" s="724"/>
      <c r="AD74" s="724"/>
    </row>
    <row r="75" spans="1:30" ht="15.75">
      <c r="A75" s="534"/>
      <c r="B75" s="892"/>
      <c r="C75" s="534"/>
      <c r="D75" s="847"/>
      <c r="E75" s="966"/>
      <c r="F75" s="966"/>
      <c r="G75" s="966"/>
      <c r="H75" s="966"/>
      <c r="I75" s="966"/>
      <c r="J75" s="966"/>
      <c r="K75" s="966"/>
      <c r="L75" s="966"/>
      <c r="M75" s="966"/>
      <c r="N75" s="966"/>
      <c r="O75" s="966"/>
      <c r="P75" s="966"/>
      <c r="Q75" s="964"/>
      <c r="R75" s="964"/>
      <c r="S75" s="964"/>
      <c r="T75" s="964"/>
      <c r="U75" s="534"/>
      <c r="V75" s="534"/>
      <c r="W75" s="534"/>
      <c r="X75" s="896"/>
      <c r="Y75" s="724"/>
      <c r="Z75" s="724"/>
      <c r="AA75" s="724"/>
      <c r="AB75" s="724"/>
      <c r="AC75" s="724"/>
      <c r="AD75" s="724"/>
    </row>
    <row r="76" spans="1:30" ht="15.75">
      <c r="A76" s="534"/>
      <c r="B76" s="892"/>
      <c r="C76" s="534"/>
      <c r="D76" s="847"/>
      <c r="E76" s="966"/>
      <c r="F76" s="966"/>
      <c r="G76" s="966"/>
      <c r="H76" s="966"/>
      <c r="I76" s="966"/>
      <c r="J76" s="966"/>
      <c r="K76" s="966"/>
      <c r="L76" s="966"/>
      <c r="M76" s="966"/>
      <c r="N76" s="966"/>
      <c r="O76" s="966"/>
      <c r="P76" s="966"/>
      <c r="Q76" s="964"/>
      <c r="R76" s="964"/>
      <c r="S76" s="964"/>
      <c r="T76" s="964"/>
      <c r="U76" s="534"/>
      <c r="V76" s="534"/>
      <c r="W76" s="534"/>
      <c r="X76" s="896"/>
      <c r="Y76" s="724"/>
      <c r="Z76" s="724"/>
      <c r="AA76" s="724"/>
      <c r="AB76" s="724"/>
      <c r="AC76" s="724"/>
      <c r="AD76" s="724"/>
    </row>
    <row r="77" spans="1:30" ht="15.75">
      <c r="A77" s="534"/>
      <c r="B77" s="892"/>
      <c r="C77" s="534"/>
      <c r="D77" s="913" t="s">
        <v>855</v>
      </c>
      <c r="E77" s="913"/>
      <c r="F77" s="913"/>
      <c r="G77" s="913"/>
      <c r="H77" s="913"/>
      <c r="I77" s="913"/>
      <c r="J77" s="913"/>
      <c r="K77" s="913"/>
      <c r="L77" s="913"/>
      <c r="M77" s="913"/>
      <c r="N77" s="913"/>
      <c r="O77" s="913"/>
      <c r="P77" s="913"/>
      <c r="Q77" s="914"/>
      <c r="R77" s="914"/>
      <c r="S77" s="915"/>
      <c r="T77" s="964"/>
      <c r="U77" s="534"/>
      <c r="V77" s="534"/>
      <c r="W77" s="534"/>
      <c r="X77" s="896"/>
      <c r="Y77" s="724"/>
      <c r="Z77" s="724"/>
      <c r="AA77" s="724"/>
      <c r="AB77" s="724"/>
      <c r="AC77" s="724"/>
      <c r="AD77" s="724"/>
    </row>
    <row r="78" spans="1:30" ht="15.75">
      <c r="A78" s="534"/>
      <c r="B78" s="892"/>
      <c r="C78" s="534"/>
      <c r="D78" s="847"/>
      <c r="E78" s="966"/>
      <c r="F78" s="966"/>
      <c r="G78" s="966"/>
      <c r="H78" s="966"/>
      <c r="I78" s="966"/>
      <c r="J78" s="966"/>
      <c r="K78" s="966"/>
      <c r="L78" s="966"/>
      <c r="M78" s="966"/>
      <c r="N78" s="966"/>
      <c r="O78" s="966"/>
      <c r="P78" s="966"/>
      <c r="Q78" s="964"/>
      <c r="R78" s="964"/>
      <c r="S78" s="964"/>
      <c r="T78" s="964"/>
      <c r="U78" s="534"/>
      <c r="V78" s="534"/>
      <c r="W78" s="534"/>
      <c r="X78" s="896"/>
      <c r="Y78" s="724"/>
      <c r="Z78" s="724"/>
      <c r="AA78" s="724"/>
      <c r="AB78" s="724"/>
      <c r="AC78" s="724"/>
      <c r="AD78" s="724"/>
    </row>
    <row r="79" spans="1:30" ht="15.75">
      <c r="A79" s="534"/>
      <c r="B79" s="892"/>
      <c r="C79" s="534"/>
      <c r="D79" s="847"/>
      <c r="E79" s="966"/>
      <c r="F79" s="966"/>
      <c r="G79" s="966"/>
      <c r="H79" s="966"/>
      <c r="I79" s="966"/>
      <c r="J79" s="966"/>
      <c r="K79" s="966"/>
      <c r="L79" s="966"/>
      <c r="M79" s="966"/>
      <c r="N79" s="966"/>
      <c r="O79" s="966"/>
      <c r="P79" s="966"/>
      <c r="Q79" s="964"/>
      <c r="R79" s="964"/>
      <c r="S79" s="964"/>
      <c r="T79" s="964"/>
      <c r="U79" s="534"/>
      <c r="V79" s="534"/>
      <c r="W79" s="534"/>
      <c r="X79" s="896"/>
      <c r="Y79" s="724"/>
      <c r="Z79" s="724"/>
      <c r="AA79" s="724"/>
      <c r="AB79" s="724"/>
      <c r="AC79" s="724"/>
      <c r="AD79" s="724"/>
    </row>
    <row r="80" spans="1:30" ht="15.75">
      <c r="A80" s="534"/>
      <c r="B80" s="892"/>
      <c r="C80" s="534"/>
      <c r="D80" s="964"/>
      <c r="E80" s="966"/>
      <c r="F80" s="966"/>
      <c r="G80" s="966"/>
      <c r="H80" s="966"/>
      <c r="I80" s="966"/>
      <c r="J80" s="966"/>
      <c r="K80" s="966"/>
      <c r="L80" s="966"/>
      <c r="M80" s="966"/>
      <c r="N80" s="966"/>
      <c r="O80" s="966"/>
      <c r="P80" s="966"/>
      <c r="Q80" s="964"/>
      <c r="R80" s="964"/>
      <c r="S80" s="964"/>
      <c r="T80" s="964"/>
      <c r="U80" s="534"/>
      <c r="V80" s="534"/>
      <c r="W80" s="534"/>
      <c r="X80" s="896"/>
      <c r="Y80" s="724"/>
      <c r="Z80" s="724"/>
      <c r="AA80" s="724"/>
      <c r="AB80" s="724"/>
      <c r="AC80" s="724"/>
      <c r="AD80" s="724"/>
    </row>
    <row r="81" spans="1:30" ht="15.75">
      <c r="A81" s="534"/>
      <c r="B81" s="892"/>
      <c r="C81" s="534"/>
      <c r="D81" s="964"/>
      <c r="E81" s="966"/>
      <c r="F81" s="966"/>
      <c r="G81" s="799" t="s">
        <v>854</v>
      </c>
      <c r="H81" s="969">
        <v>3</v>
      </c>
      <c r="I81" s="966"/>
      <c r="J81" s="966"/>
      <c r="K81" s="966"/>
      <c r="L81" s="966"/>
      <c r="M81" s="966"/>
      <c r="N81" s="966"/>
      <c r="O81" s="966"/>
      <c r="P81" s="966"/>
      <c r="Q81" s="964"/>
      <c r="R81" s="964"/>
      <c r="S81" s="964"/>
      <c r="T81" s="964"/>
      <c r="U81" s="534"/>
      <c r="V81" s="534"/>
      <c r="W81" s="534"/>
      <c r="X81" s="896"/>
      <c r="Y81" s="724"/>
      <c r="Z81" s="724"/>
      <c r="AA81" s="724"/>
      <c r="AB81" s="724"/>
      <c r="AC81" s="724"/>
      <c r="AD81" s="724"/>
    </row>
    <row r="82" spans="1:30" ht="15.75">
      <c r="A82" s="534"/>
      <c r="B82" s="892"/>
      <c r="C82" s="534"/>
      <c r="D82" s="964"/>
      <c r="G82" s="799" t="s">
        <v>650</v>
      </c>
      <c r="H82" s="970">
        <v>30.1</v>
      </c>
      <c r="I82" s="966"/>
      <c r="J82" s="966"/>
      <c r="K82" s="966"/>
      <c r="L82" s="966"/>
      <c r="M82" s="966"/>
      <c r="N82" s="966"/>
      <c r="O82" s="966"/>
      <c r="P82" s="966"/>
      <c r="Q82" s="964"/>
      <c r="R82" s="964"/>
      <c r="S82" s="964"/>
      <c r="T82" s="964"/>
      <c r="U82" s="534"/>
      <c r="V82" s="534"/>
      <c r="W82" s="534"/>
      <c r="X82" s="896"/>
      <c r="Y82" s="724"/>
      <c r="Z82" s="724"/>
      <c r="AA82" s="724"/>
      <c r="AB82" s="724"/>
      <c r="AC82" s="724"/>
      <c r="AD82" s="724"/>
    </row>
    <row r="83" spans="1:30" ht="15.75">
      <c r="A83" s="534"/>
      <c r="B83" s="892"/>
      <c r="C83" s="534"/>
      <c r="D83" s="964"/>
      <c r="G83" s="799" t="s">
        <v>529</v>
      </c>
      <c r="H83" s="971">
        <f>PI()*(H82/2000)^2*H81</f>
        <v>2.1347357700591662E-3</v>
      </c>
      <c r="I83" s="966"/>
      <c r="J83" s="966"/>
      <c r="K83" s="966"/>
      <c r="L83" s="966"/>
      <c r="M83" s="966"/>
      <c r="N83" s="966"/>
      <c r="O83" s="966"/>
      <c r="P83" s="966"/>
      <c r="Q83" s="964"/>
      <c r="R83" s="964"/>
      <c r="S83" s="964"/>
      <c r="T83" s="964"/>
      <c r="U83" s="534"/>
      <c r="V83" s="534"/>
      <c r="W83" s="534"/>
      <c r="X83" s="896"/>
      <c r="Y83" s="724"/>
      <c r="Z83" s="724"/>
      <c r="AA83" s="724"/>
      <c r="AB83" s="724"/>
      <c r="AC83" s="724"/>
      <c r="AD83" s="724"/>
    </row>
    <row r="84" spans="1:30" ht="15.75">
      <c r="A84" s="534"/>
      <c r="B84" s="892"/>
      <c r="C84" s="534"/>
      <c r="D84" s="964"/>
      <c r="G84" s="799" t="s">
        <v>240</v>
      </c>
      <c r="H84" s="972">
        <v>26</v>
      </c>
      <c r="I84" s="966"/>
      <c r="J84" s="966"/>
      <c r="K84" s="966"/>
      <c r="L84" s="966"/>
      <c r="M84" s="966"/>
      <c r="N84" s="966"/>
      <c r="O84" s="966"/>
      <c r="P84" s="966"/>
      <c r="Q84" s="964"/>
      <c r="R84" s="964"/>
      <c r="S84" s="964"/>
      <c r="T84" s="964"/>
      <c r="U84" s="534"/>
      <c r="V84" s="534"/>
      <c r="W84" s="534"/>
      <c r="X84" s="896"/>
      <c r="Y84" s="724"/>
      <c r="Z84" s="724"/>
      <c r="AA84" s="724"/>
      <c r="AB84" s="724"/>
      <c r="AC84" s="724"/>
      <c r="AD84" s="724"/>
    </row>
    <row r="85" spans="1:30" ht="15.75">
      <c r="A85" s="534"/>
      <c r="B85" s="892"/>
      <c r="C85" s="534"/>
      <c r="D85" s="964"/>
      <c r="H85" s="966"/>
      <c r="I85" s="966"/>
      <c r="J85" s="966"/>
      <c r="K85" s="966"/>
      <c r="L85" s="966"/>
      <c r="M85" s="966"/>
      <c r="N85" s="966"/>
      <c r="O85" s="966"/>
      <c r="P85" s="966"/>
      <c r="Q85" s="964"/>
      <c r="R85" s="964"/>
      <c r="S85" s="964"/>
      <c r="T85" s="964"/>
      <c r="U85" s="534"/>
      <c r="V85" s="534"/>
      <c r="W85" s="534"/>
      <c r="X85" s="896"/>
      <c r="Y85" s="724"/>
      <c r="Z85" s="724"/>
      <c r="AA85" s="724"/>
      <c r="AB85" s="724"/>
      <c r="AC85" s="724"/>
      <c r="AD85" s="724"/>
    </row>
    <row r="86" spans="1:30" ht="15.75">
      <c r="A86" s="534"/>
      <c r="B86" s="892"/>
      <c r="C86" s="534"/>
      <c r="D86" s="964"/>
      <c r="E86" s="966"/>
      <c r="F86" s="966"/>
      <c r="G86" s="966"/>
      <c r="H86" s="966"/>
      <c r="I86" s="966"/>
      <c r="J86" s="966"/>
      <c r="K86" s="966"/>
      <c r="L86" s="966"/>
      <c r="M86" s="966"/>
      <c r="N86" s="966"/>
      <c r="O86" s="966"/>
      <c r="P86" s="966"/>
      <c r="Q86" s="964"/>
      <c r="R86" s="964"/>
      <c r="S86" s="964"/>
      <c r="T86" s="964"/>
      <c r="U86" s="534"/>
      <c r="V86" s="534"/>
      <c r="W86" s="534"/>
      <c r="X86" s="896"/>
      <c r="Y86" s="724"/>
      <c r="Z86" s="724"/>
      <c r="AA86" s="724"/>
      <c r="AB86" s="724"/>
      <c r="AC86" s="724"/>
      <c r="AD86" s="724"/>
    </row>
    <row r="87" spans="1:30" ht="15.75">
      <c r="A87" s="534"/>
      <c r="B87" s="892"/>
      <c r="C87" s="534"/>
      <c r="D87" s="964"/>
      <c r="E87" s="966"/>
      <c r="F87" s="966"/>
      <c r="G87" s="966"/>
      <c r="H87" s="966"/>
      <c r="I87" s="966"/>
      <c r="L87" s="966"/>
      <c r="M87" s="966"/>
      <c r="N87" s="966"/>
      <c r="O87" s="966"/>
      <c r="P87" s="966"/>
      <c r="Q87" s="964"/>
      <c r="R87" s="964"/>
      <c r="S87" s="964"/>
      <c r="T87" s="964"/>
      <c r="U87" s="534"/>
      <c r="V87" s="534"/>
      <c r="W87" s="534"/>
      <c r="X87" s="896"/>
      <c r="Y87" s="724"/>
      <c r="Z87" s="724"/>
      <c r="AA87" s="724"/>
      <c r="AB87" s="724"/>
      <c r="AC87" s="724"/>
      <c r="AD87" s="724"/>
    </row>
    <row r="88" spans="1:30" ht="15.75">
      <c r="A88" s="534"/>
      <c r="B88" s="892"/>
      <c r="C88" s="534"/>
      <c r="D88" s="964"/>
      <c r="H88" s="966"/>
      <c r="I88" s="966"/>
      <c r="L88" s="966"/>
      <c r="M88" s="966"/>
      <c r="N88" s="966"/>
      <c r="O88" s="966"/>
      <c r="P88" s="966"/>
      <c r="Q88" s="964"/>
      <c r="R88" s="964"/>
      <c r="S88" s="964"/>
      <c r="T88" s="964"/>
      <c r="U88" s="534"/>
      <c r="V88" s="534"/>
      <c r="W88" s="534"/>
      <c r="X88" s="896"/>
      <c r="Y88" s="724"/>
      <c r="Z88" s="724"/>
      <c r="AA88" s="724"/>
      <c r="AB88" s="724"/>
      <c r="AC88" s="724"/>
      <c r="AD88" s="724"/>
    </row>
    <row r="89" spans="1:30" ht="15.75">
      <c r="A89" s="534"/>
      <c r="B89" s="892"/>
      <c r="C89" s="534"/>
      <c r="D89" s="964"/>
      <c r="H89" s="966"/>
      <c r="I89" s="966"/>
      <c r="L89" s="966"/>
      <c r="M89" s="966"/>
      <c r="N89" s="966"/>
      <c r="O89" s="966"/>
      <c r="P89" s="966"/>
      <c r="Q89" s="964"/>
      <c r="R89" s="964"/>
      <c r="S89" s="964"/>
      <c r="T89" s="964"/>
      <c r="U89" s="534"/>
      <c r="V89" s="534"/>
      <c r="W89" s="534"/>
      <c r="X89" s="896"/>
      <c r="Y89" s="724"/>
      <c r="Z89" s="724"/>
      <c r="AA89" s="724"/>
      <c r="AB89" s="724"/>
      <c r="AC89" s="724"/>
      <c r="AD89" s="724"/>
    </row>
    <row r="90" spans="1:30" ht="15.75">
      <c r="A90" s="534"/>
      <c r="B90" s="892"/>
      <c r="C90" s="534"/>
      <c r="D90" s="964"/>
      <c r="H90" s="966"/>
      <c r="I90" s="966"/>
      <c r="L90" s="966"/>
      <c r="M90" s="966"/>
      <c r="N90" s="966"/>
      <c r="O90" s="966"/>
      <c r="P90" s="966"/>
      <c r="Q90" s="964"/>
      <c r="R90" s="964"/>
      <c r="S90" s="964"/>
      <c r="T90" s="964"/>
      <c r="U90" s="534"/>
      <c r="V90" s="534"/>
      <c r="W90" s="534"/>
      <c r="X90" s="896"/>
      <c r="Y90" s="724"/>
      <c r="Z90" s="724"/>
      <c r="AA90" s="724"/>
      <c r="AB90" s="724"/>
      <c r="AC90" s="724"/>
      <c r="AD90" s="724"/>
    </row>
    <row r="91" spans="1:30" ht="15.75">
      <c r="A91" s="534"/>
      <c r="B91" s="892"/>
      <c r="C91" s="534"/>
      <c r="D91" s="964"/>
      <c r="H91" s="966"/>
      <c r="I91" s="966"/>
      <c r="J91" s="966"/>
      <c r="K91" s="966"/>
      <c r="L91" s="966"/>
      <c r="M91" s="966"/>
      <c r="N91" s="966"/>
      <c r="O91" s="966"/>
      <c r="P91" s="966"/>
      <c r="Q91" s="964"/>
      <c r="R91" s="964"/>
      <c r="S91" s="964"/>
      <c r="T91" s="964"/>
      <c r="U91" s="534"/>
      <c r="V91" s="534"/>
      <c r="W91" s="534"/>
      <c r="X91" s="896"/>
      <c r="Y91" s="724"/>
      <c r="Z91" s="724"/>
      <c r="AA91" s="724"/>
      <c r="AB91" s="724"/>
      <c r="AC91" s="724"/>
      <c r="AD91" s="724"/>
    </row>
    <row r="92" spans="1:30" ht="15.75">
      <c r="A92" s="534"/>
      <c r="B92" s="892"/>
      <c r="C92" s="534"/>
      <c r="D92" s="964"/>
      <c r="E92" s="966"/>
      <c r="F92" s="966"/>
      <c r="G92" s="966"/>
      <c r="H92" s="966"/>
      <c r="I92" s="966"/>
      <c r="J92" s="966"/>
      <c r="K92" s="966"/>
      <c r="L92" s="966"/>
      <c r="M92" s="966"/>
      <c r="N92" s="966"/>
      <c r="O92" s="966"/>
      <c r="P92" s="966"/>
      <c r="Q92" s="964"/>
      <c r="R92" s="964"/>
      <c r="S92" s="964"/>
      <c r="T92" s="964"/>
      <c r="U92" s="534"/>
      <c r="V92" s="534"/>
      <c r="W92" s="534"/>
      <c r="X92" s="896"/>
      <c r="Y92" s="724"/>
      <c r="Z92" s="724"/>
      <c r="AA92" s="724"/>
      <c r="AB92" s="724"/>
      <c r="AC92" s="724"/>
      <c r="AD92" s="724"/>
    </row>
    <row r="93" spans="1:30" ht="15.75">
      <c r="A93" s="534"/>
      <c r="B93" s="892"/>
      <c r="C93" s="534"/>
      <c r="D93" s="964"/>
      <c r="E93" s="966"/>
      <c r="F93" s="966"/>
      <c r="G93" s="966"/>
      <c r="H93" s="966"/>
      <c r="I93" s="966"/>
      <c r="J93" s="966"/>
      <c r="K93" s="966"/>
      <c r="L93" s="966"/>
      <c r="M93" s="966"/>
      <c r="N93" s="966"/>
      <c r="O93" s="966"/>
      <c r="P93" s="966"/>
      <c r="Q93" s="964"/>
      <c r="R93" s="964"/>
      <c r="S93" s="964"/>
      <c r="T93" s="964"/>
      <c r="U93" s="534"/>
      <c r="V93" s="534"/>
      <c r="W93" s="534"/>
      <c r="X93" s="896"/>
      <c r="Y93" s="724"/>
      <c r="Z93" s="724"/>
      <c r="AA93" s="724"/>
      <c r="AB93" s="724"/>
      <c r="AC93" s="724"/>
      <c r="AD93" s="724"/>
    </row>
    <row r="94" spans="1:30" ht="15.75">
      <c r="A94" s="534"/>
      <c r="B94" s="892"/>
      <c r="C94" s="534"/>
      <c r="D94" s="964"/>
      <c r="E94" s="966"/>
      <c r="F94" s="966"/>
      <c r="G94" s="966"/>
      <c r="H94" s="966"/>
      <c r="I94" s="966"/>
      <c r="J94" s="966"/>
      <c r="K94" s="966"/>
      <c r="L94" s="966"/>
      <c r="M94" s="966"/>
      <c r="N94" s="966"/>
      <c r="O94" s="966"/>
      <c r="P94" s="966"/>
      <c r="Q94" s="964"/>
      <c r="R94" s="964"/>
      <c r="S94" s="964"/>
      <c r="T94" s="964"/>
      <c r="U94" s="534"/>
      <c r="V94" s="534"/>
      <c r="W94" s="534"/>
      <c r="X94" s="896"/>
      <c r="Y94" s="724"/>
      <c r="Z94" s="724"/>
      <c r="AA94" s="724"/>
      <c r="AB94" s="724"/>
      <c r="AC94" s="724"/>
      <c r="AD94" s="724"/>
    </row>
    <row r="95" spans="1:30" ht="15.75">
      <c r="A95" s="534"/>
      <c r="B95" s="892"/>
      <c r="C95" s="534"/>
      <c r="D95" s="964"/>
      <c r="E95" s="966"/>
      <c r="F95" s="966"/>
      <c r="G95" s="966"/>
      <c r="H95" s="966"/>
      <c r="I95" s="966"/>
      <c r="J95" s="966"/>
      <c r="K95" s="966"/>
      <c r="L95" s="966"/>
      <c r="M95" s="966"/>
      <c r="N95" s="966"/>
      <c r="O95" s="966"/>
      <c r="P95" s="966"/>
      <c r="Q95" s="964"/>
      <c r="R95" s="964"/>
      <c r="S95" s="964"/>
      <c r="T95" s="964"/>
      <c r="U95" s="534"/>
      <c r="V95" s="534"/>
      <c r="W95" s="534"/>
      <c r="X95" s="896"/>
      <c r="Y95" s="724"/>
      <c r="Z95" s="724"/>
      <c r="AA95" s="724"/>
      <c r="AB95" s="724"/>
      <c r="AC95" s="724"/>
      <c r="AD95" s="724"/>
    </row>
    <row r="96" spans="1:30" ht="15.75">
      <c r="A96" s="534"/>
      <c r="B96" s="892"/>
      <c r="C96" s="534"/>
      <c r="D96" s="964"/>
      <c r="E96" s="966"/>
      <c r="F96" s="966"/>
      <c r="G96" s="966"/>
      <c r="H96" s="966"/>
      <c r="I96" s="966"/>
      <c r="J96" s="966"/>
      <c r="K96" s="966"/>
      <c r="L96" s="966"/>
      <c r="M96" s="966"/>
      <c r="N96" s="966"/>
      <c r="O96" s="966"/>
      <c r="P96" s="966"/>
      <c r="Q96" s="964"/>
      <c r="R96" s="964"/>
      <c r="S96" s="964"/>
      <c r="T96" s="964"/>
      <c r="U96" s="534"/>
      <c r="V96" s="534"/>
      <c r="W96" s="534"/>
      <c r="X96" s="896"/>
      <c r="Y96" s="724"/>
      <c r="Z96" s="724"/>
      <c r="AA96" s="724"/>
      <c r="AB96" s="724"/>
      <c r="AC96" s="724"/>
      <c r="AD96" s="724"/>
    </row>
    <row r="97" spans="1:30" ht="15.75">
      <c r="A97" s="534"/>
      <c r="B97" s="892"/>
      <c r="C97" s="534"/>
      <c r="D97" s="964"/>
      <c r="E97" s="966"/>
      <c r="F97" s="966"/>
      <c r="G97" s="966"/>
      <c r="H97" s="966"/>
      <c r="I97" s="966"/>
      <c r="J97" s="966"/>
      <c r="K97" s="966"/>
      <c r="L97" s="966"/>
      <c r="M97" s="966"/>
      <c r="N97" s="966"/>
      <c r="O97" s="966"/>
      <c r="P97" s="966"/>
      <c r="Q97" s="964"/>
      <c r="R97" s="964"/>
      <c r="S97" s="964"/>
      <c r="T97" s="964"/>
      <c r="U97" s="534"/>
      <c r="V97" s="534"/>
      <c r="W97" s="534"/>
      <c r="X97" s="896"/>
      <c r="Y97" s="724"/>
      <c r="Z97" s="724"/>
      <c r="AA97" s="724"/>
      <c r="AB97" s="724"/>
      <c r="AC97" s="724"/>
      <c r="AD97" s="724"/>
    </row>
    <row r="98" spans="1:30" ht="15.75">
      <c r="A98" s="534"/>
      <c r="B98" s="892"/>
      <c r="C98" s="534"/>
      <c r="D98" s="964"/>
      <c r="E98" s="966"/>
      <c r="F98" s="966"/>
      <c r="G98" s="966"/>
      <c r="H98" s="966"/>
      <c r="I98" s="966"/>
      <c r="J98" s="966"/>
      <c r="K98" s="966"/>
      <c r="L98" s="966"/>
      <c r="M98" s="966"/>
      <c r="N98" s="966"/>
      <c r="O98" s="966"/>
      <c r="P98" s="966"/>
      <c r="Q98" s="964"/>
      <c r="R98" s="964"/>
      <c r="S98" s="964"/>
      <c r="T98" s="964"/>
      <c r="U98" s="534"/>
      <c r="V98" s="534"/>
      <c r="W98" s="534"/>
      <c r="X98" s="896"/>
      <c r="Y98" s="724"/>
      <c r="Z98" s="724"/>
      <c r="AA98" s="724"/>
      <c r="AB98" s="724"/>
      <c r="AC98" s="724"/>
      <c r="AD98" s="724"/>
    </row>
    <row r="99" spans="1:30" ht="15.75">
      <c r="A99" s="534"/>
      <c r="B99" s="892"/>
      <c r="C99" s="534"/>
      <c r="D99" s="964"/>
      <c r="E99" s="966"/>
      <c r="F99" s="966"/>
      <c r="G99" s="966"/>
      <c r="H99" s="966"/>
      <c r="I99" s="966"/>
      <c r="J99" s="966"/>
      <c r="K99" s="966"/>
      <c r="L99" s="966"/>
      <c r="M99" s="966"/>
      <c r="N99" s="966"/>
      <c r="O99" s="966"/>
      <c r="P99" s="966"/>
      <c r="Q99" s="964"/>
      <c r="R99" s="964"/>
      <c r="S99" s="964"/>
      <c r="T99" s="964"/>
      <c r="U99" s="534"/>
      <c r="V99" s="534"/>
      <c r="W99" s="534"/>
      <c r="X99" s="896"/>
      <c r="Y99" s="724"/>
      <c r="Z99" s="724"/>
      <c r="AA99" s="724"/>
      <c r="AB99" s="724"/>
      <c r="AC99" s="724"/>
      <c r="AD99" s="724"/>
    </row>
    <row r="100" spans="1:30" ht="15.75">
      <c r="A100" s="534"/>
      <c r="B100" s="892"/>
      <c r="C100" s="534"/>
      <c r="D100" s="964"/>
      <c r="E100" s="966"/>
      <c r="F100" s="966"/>
      <c r="G100" s="966"/>
      <c r="H100" s="966"/>
      <c r="I100" s="966"/>
      <c r="J100" s="966"/>
      <c r="K100" s="966"/>
      <c r="L100" s="966"/>
      <c r="M100" s="966"/>
      <c r="N100" s="966"/>
      <c r="O100" s="966"/>
      <c r="P100" s="966"/>
      <c r="Q100" s="964"/>
      <c r="R100" s="964"/>
      <c r="S100" s="964"/>
      <c r="T100" s="964"/>
      <c r="U100" s="534"/>
      <c r="V100" s="534"/>
      <c r="W100" s="534"/>
      <c r="X100" s="896"/>
      <c r="Y100" s="724"/>
      <c r="Z100" s="724"/>
      <c r="AA100" s="724"/>
      <c r="AB100" s="724"/>
      <c r="AC100" s="724"/>
      <c r="AD100" s="724"/>
    </row>
    <row r="101" spans="1:30" ht="15.75">
      <c r="A101" s="534"/>
      <c r="B101" s="892"/>
      <c r="C101" s="534"/>
      <c r="D101" s="964"/>
      <c r="E101" s="966"/>
      <c r="F101" s="966"/>
      <c r="G101" s="966"/>
      <c r="H101" s="966"/>
      <c r="I101" s="966"/>
      <c r="J101" s="966"/>
      <c r="K101" s="966"/>
      <c r="L101" s="966"/>
      <c r="M101" s="966"/>
      <c r="N101" s="966"/>
      <c r="O101" s="966"/>
      <c r="P101" s="966"/>
      <c r="Q101" s="964"/>
      <c r="R101" s="964"/>
      <c r="S101" s="964"/>
      <c r="T101" s="964"/>
      <c r="U101" s="534"/>
      <c r="V101" s="534"/>
      <c r="W101" s="534"/>
      <c r="X101" s="896"/>
      <c r="Y101" s="724"/>
      <c r="Z101" s="724"/>
      <c r="AA101" s="724"/>
      <c r="AB101" s="724"/>
      <c r="AC101" s="724"/>
      <c r="AD101" s="724"/>
    </row>
    <row r="102" spans="1:30" ht="15.75">
      <c r="A102" s="534"/>
      <c r="B102" s="892"/>
      <c r="C102" s="534"/>
      <c r="D102" s="964"/>
      <c r="E102" s="966"/>
      <c r="F102" s="966"/>
      <c r="G102" s="966"/>
      <c r="H102" s="966"/>
      <c r="I102" s="966"/>
      <c r="J102" s="966"/>
      <c r="K102" s="966"/>
      <c r="L102" s="966"/>
      <c r="M102" s="966"/>
      <c r="N102" s="966"/>
      <c r="O102" s="966"/>
      <c r="P102" s="966"/>
      <c r="Q102" s="964"/>
      <c r="R102" s="964"/>
      <c r="S102" s="964"/>
      <c r="T102" s="964"/>
      <c r="U102" s="534"/>
      <c r="V102" s="534"/>
      <c r="W102" s="534"/>
      <c r="X102" s="896"/>
      <c r="Y102" s="724"/>
      <c r="Z102" s="724"/>
      <c r="AA102" s="724"/>
      <c r="AB102" s="724"/>
      <c r="AC102" s="724"/>
      <c r="AD102" s="724"/>
    </row>
    <row r="103" spans="1:30" ht="15.75">
      <c r="A103" s="534"/>
      <c r="B103" s="892"/>
      <c r="C103" s="534"/>
      <c r="D103" s="964"/>
      <c r="E103" s="966"/>
      <c r="F103" s="966"/>
      <c r="G103" s="966"/>
      <c r="H103" s="966"/>
      <c r="I103" s="966"/>
      <c r="J103" s="966"/>
      <c r="K103" s="966"/>
      <c r="L103" s="966"/>
      <c r="M103" s="966"/>
      <c r="N103" s="966"/>
      <c r="O103" s="966"/>
      <c r="P103" s="966"/>
      <c r="Q103" s="964"/>
      <c r="R103" s="964"/>
      <c r="S103" s="964"/>
      <c r="T103" s="964"/>
      <c r="U103" s="534"/>
      <c r="V103" s="534"/>
      <c r="W103" s="534"/>
      <c r="X103" s="896"/>
      <c r="Y103" s="724"/>
      <c r="Z103" s="724"/>
      <c r="AA103" s="724"/>
      <c r="AB103" s="724"/>
      <c r="AC103" s="724"/>
      <c r="AD103" s="724"/>
    </row>
    <row r="104" spans="1:30" ht="15.75">
      <c r="A104" s="534"/>
      <c r="B104" s="892"/>
      <c r="C104" s="534"/>
      <c r="D104" s="964"/>
      <c r="E104" s="966"/>
      <c r="F104" s="966"/>
      <c r="G104" s="966"/>
      <c r="H104" s="966"/>
      <c r="I104" s="966"/>
      <c r="J104" s="966"/>
      <c r="K104" s="966"/>
      <c r="L104" s="966"/>
      <c r="M104" s="966"/>
      <c r="N104" s="966"/>
      <c r="O104" s="966"/>
      <c r="P104" s="966"/>
      <c r="Q104" s="964"/>
      <c r="R104" s="964"/>
      <c r="S104" s="964"/>
      <c r="T104" s="964"/>
      <c r="U104" s="534"/>
      <c r="V104" s="534"/>
      <c r="W104" s="534"/>
      <c r="X104" s="896"/>
      <c r="Y104" s="724"/>
      <c r="Z104" s="724"/>
      <c r="AA104" s="724"/>
      <c r="AB104" s="724"/>
      <c r="AC104" s="724"/>
      <c r="AD104" s="724"/>
    </row>
    <row r="105" spans="1:30" ht="15.75">
      <c r="A105" s="534"/>
      <c r="B105" s="892"/>
      <c r="C105" s="534"/>
      <c r="D105" s="964"/>
      <c r="E105" s="966"/>
      <c r="F105" s="966"/>
      <c r="G105" s="966"/>
      <c r="H105" s="966"/>
      <c r="I105" s="966"/>
      <c r="J105" s="966"/>
      <c r="K105" s="966"/>
      <c r="L105" s="966"/>
      <c r="M105" s="966"/>
      <c r="N105" s="966"/>
      <c r="O105" s="966"/>
      <c r="P105" s="966"/>
      <c r="Q105" s="964"/>
      <c r="R105" s="964"/>
      <c r="S105" s="964"/>
      <c r="T105" s="964"/>
      <c r="U105" s="534"/>
      <c r="V105" s="534"/>
      <c r="W105" s="534"/>
      <c r="X105" s="896"/>
      <c r="Y105" s="724"/>
      <c r="Z105" s="724"/>
      <c r="AA105" s="724"/>
      <c r="AB105" s="724"/>
      <c r="AC105" s="724"/>
      <c r="AD105" s="724"/>
    </row>
    <row r="106" spans="1:30" ht="15.75">
      <c r="A106" s="534"/>
      <c r="B106" s="892"/>
      <c r="C106" s="534"/>
      <c r="D106" s="964"/>
      <c r="E106" s="966"/>
      <c r="F106" s="966"/>
      <c r="G106" s="966"/>
      <c r="H106" s="966"/>
      <c r="I106" s="966"/>
      <c r="J106" s="966"/>
      <c r="K106" s="966"/>
      <c r="L106" s="966"/>
      <c r="M106" s="966"/>
      <c r="N106" s="966"/>
      <c r="O106" s="966"/>
      <c r="P106" s="966"/>
      <c r="Q106" s="964"/>
      <c r="R106" s="964"/>
      <c r="S106" s="964"/>
      <c r="T106" s="964"/>
      <c r="U106" s="534"/>
      <c r="V106" s="534"/>
      <c r="W106" s="534"/>
      <c r="X106" s="896"/>
      <c r="Y106" s="724"/>
      <c r="Z106" s="724"/>
      <c r="AA106" s="724"/>
      <c r="AB106" s="724"/>
      <c r="AC106" s="724"/>
      <c r="AD106" s="724"/>
    </row>
    <row r="107" spans="1:30" ht="15.75">
      <c r="A107" s="534"/>
      <c r="B107" s="892"/>
      <c r="C107" s="534"/>
      <c r="D107" s="964"/>
      <c r="E107" s="966"/>
      <c r="F107" s="966"/>
      <c r="G107" s="966"/>
      <c r="H107" s="966"/>
      <c r="I107" s="966"/>
      <c r="J107" s="966"/>
      <c r="K107" s="966"/>
      <c r="L107" s="966"/>
      <c r="M107" s="966"/>
      <c r="N107" s="966"/>
      <c r="O107" s="966"/>
      <c r="P107" s="966"/>
      <c r="Q107" s="964"/>
      <c r="R107" s="964"/>
      <c r="S107" s="964"/>
      <c r="T107" s="964"/>
      <c r="U107" s="534"/>
      <c r="V107" s="534"/>
      <c r="W107" s="534"/>
      <c r="X107" s="896"/>
      <c r="Y107" s="724"/>
      <c r="Z107" s="724"/>
      <c r="AA107" s="724"/>
      <c r="AB107" s="724"/>
      <c r="AC107" s="724"/>
      <c r="AD107" s="724"/>
    </row>
    <row r="108" spans="1:30" ht="15.75">
      <c r="A108" s="534"/>
      <c r="B108" s="892"/>
      <c r="C108" s="534"/>
      <c r="D108" s="964"/>
      <c r="E108" s="966"/>
      <c r="F108" s="966"/>
      <c r="G108" s="966"/>
      <c r="H108" s="966"/>
      <c r="I108" s="966"/>
      <c r="J108" s="966"/>
      <c r="K108" s="966"/>
      <c r="L108" s="966"/>
      <c r="M108" s="966"/>
      <c r="N108" s="966"/>
      <c r="O108" s="966"/>
      <c r="P108" s="966"/>
      <c r="Q108" s="964"/>
      <c r="R108" s="964"/>
      <c r="S108" s="964"/>
      <c r="T108" s="964"/>
      <c r="U108" s="534"/>
      <c r="V108" s="534"/>
      <c r="W108" s="534"/>
      <c r="X108" s="896"/>
      <c r="Y108" s="724"/>
      <c r="Z108" s="724"/>
      <c r="AA108" s="724"/>
      <c r="AB108" s="724"/>
      <c r="AC108" s="724"/>
      <c r="AD108" s="724"/>
    </row>
    <row r="109" spans="1:30" ht="15.75">
      <c r="A109" s="534"/>
      <c r="B109" s="892"/>
      <c r="C109" s="534"/>
      <c r="D109" s="964"/>
      <c r="E109" s="966"/>
      <c r="F109" s="966"/>
      <c r="G109" s="966"/>
      <c r="H109" s="966"/>
      <c r="I109" s="966"/>
      <c r="J109" s="966"/>
      <c r="K109" s="966"/>
      <c r="L109" s="966"/>
      <c r="M109" s="966"/>
      <c r="N109" s="966"/>
      <c r="O109" s="966"/>
      <c r="P109" s="966"/>
      <c r="Q109" s="964"/>
      <c r="R109" s="964"/>
      <c r="S109" s="964"/>
      <c r="T109" s="964"/>
      <c r="U109" s="534"/>
      <c r="V109" s="534"/>
      <c r="W109" s="534"/>
      <c r="X109" s="896"/>
      <c r="Y109" s="724"/>
      <c r="Z109" s="724"/>
      <c r="AA109" s="724"/>
      <c r="AB109" s="724"/>
      <c r="AC109" s="724"/>
      <c r="AD109" s="724"/>
    </row>
    <row r="110" spans="1:30" ht="15.75">
      <c r="A110" s="534"/>
      <c r="B110" s="892"/>
      <c r="C110" s="534"/>
      <c r="D110" s="964"/>
      <c r="E110" s="966"/>
      <c r="F110" s="966"/>
      <c r="G110" s="966"/>
      <c r="H110" s="966"/>
      <c r="I110" s="966"/>
      <c r="J110" s="966"/>
      <c r="K110" s="966"/>
      <c r="L110" s="966"/>
      <c r="M110" s="966"/>
      <c r="N110" s="966"/>
      <c r="O110" s="966"/>
      <c r="P110" s="966"/>
      <c r="Q110" s="964"/>
      <c r="R110" s="964"/>
      <c r="S110" s="964"/>
      <c r="T110" s="964"/>
      <c r="U110" s="534"/>
      <c r="V110" s="534"/>
      <c r="W110" s="534"/>
      <c r="X110" s="896"/>
      <c r="Y110" s="724"/>
      <c r="Z110" s="724"/>
      <c r="AA110" s="724"/>
      <c r="AB110" s="724"/>
      <c r="AC110" s="724"/>
      <c r="AD110" s="724"/>
    </row>
    <row r="111" spans="1:30" ht="15.75">
      <c r="A111" s="534"/>
      <c r="B111" s="892"/>
      <c r="C111" s="534"/>
      <c r="D111" s="967"/>
      <c r="E111" s="966"/>
      <c r="F111" s="966"/>
      <c r="G111" s="966"/>
      <c r="H111" s="966"/>
      <c r="I111" s="966"/>
      <c r="J111" s="966"/>
      <c r="K111" s="966"/>
      <c r="L111" s="966"/>
      <c r="M111" s="966"/>
      <c r="N111" s="966"/>
      <c r="O111" s="966"/>
      <c r="P111" s="966"/>
      <c r="Q111" s="964"/>
      <c r="R111" s="964"/>
      <c r="S111" s="964"/>
      <c r="T111" s="964"/>
      <c r="U111" s="534"/>
      <c r="V111" s="534"/>
      <c r="W111" s="534"/>
      <c r="X111" s="896"/>
      <c r="Y111" s="724"/>
      <c r="Z111" s="724"/>
      <c r="AA111" s="724"/>
      <c r="AB111" s="724"/>
      <c r="AC111" s="724"/>
      <c r="AD111" s="724"/>
    </row>
    <row r="112" spans="1:30" ht="15.75">
      <c r="A112" s="534"/>
      <c r="B112" s="892"/>
      <c r="C112" s="534"/>
      <c r="D112" s="966"/>
      <c r="E112" s="966"/>
      <c r="F112" s="966"/>
      <c r="G112" s="966"/>
      <c r="H112" s="966"/>
      <c r="I112" s="966"/>
      <c r="J112" s="966"/>
      <c r="K112" s="966"/>
      <c r="L112" s="966"/>
      <c r="M112" s="966"/>
      <c r="N112" s="966"/>
      <c r="O112" s="966"/>
      <c r="P112" s="966"/>
      <c r="Q112" s="964"/>
      <c r="R112" s="964"/>
      <c r="S112" s="964"/>
      <c r="T112" s="964"/>
      <c r="U112" s="534"/>
      <c r="V112" s="534"/>
      <c r="W112" s="534"/>
      <c r="X112" s="896"/>
      <c r="Y112" s="724"/>
      <c r="Z112" s="724"/>
      <c r="AA112" s="724"/>
      <c r="AB112" s="724"/>
      <c r="AC112" s="724"/>
      <c r="AD112" s="724"/>
    </row>
    <row r="113" spans="1:30" ht="15.75">
      <c r="A113" s="534"/>
      <c r="B113" s="892"/>
      <c r="C113" s="534"/>
      <c r="D113" s="966"/>
      <c r="E113" s="966"/>
      <c r="F113" s="966"/>
      <c r="G113" s="966"/>
      <c r="H113" s="966"/>
      <c r="I113" s="966"/>
      <c r="J113" s="966"/>
      <c r="K113" s="966"/>
      <c r="L113" s="966"/>
      <c r="M113" s="966"/>
      <c r="N113" s="966"/>
      <c r="O113" s="966"/>
      <c r="P113" s="966"/>
      <c r="Q113" s="964"/>
      <c r="R113" s="964"/>
      <c r="S113" s="964"/>
      <c r="T113" s="964"/>
      <c r="U113" s="534"/>
      <c r="V113" s="534"/>
      <c r="W113" s="534"/>
      <c r="X113" s="896"/>
      <c r="Y113" s="724"/>
      <c r="Z113" s="724"/>
      <c r="AA113" s="724"/>
      <c r="AB113" s="724"/>
      <c r="AC113" s="724"/>
      <c r="AD113" s="724"/>
    </row>
    <row r="114" spans="1:30" ht="15.75">
      <c r="A114" s="534"/>
      <c r="B114" s="892"/>
      <c r="C114" s="534"/>
      <c r="D114" s="966"/>
      <c r="E114" s="966"/>
      <c r="F114" s="966"/>
      <c r="G114" s="966"/>
      <c r="H114" s="966"/>
      <c r="I114" s="966"/>
      <c r="J114" s="966"/>
      <c r="K114" s="966"/>
      <c r="L114" s="966"/>
      <c r="M114" s="966"/>
      <c r="N114" s="966"/>
      <c r="O114" s="966"/>
      <c r="P114" s="966"/>
      <c r="Q114" s="964"/>
      <c r="R114" s="964"/>
      <c r="S114" s="964"/>
      <c r="T114" s="964"/>
      <c r="U114" s="534"/>
      <c r="V114" s="534"/>
      <c r="W114" s="534"/>
      <c r="X114" s="896"/>
      <c r="Y114" s="724"/>
      <c r="Z114" s="724"/>
      <c r="AA114" s="724"/>
      <c r="AB114" s="724"/>
      <c r="AC114" s="724"/>
      <c r="AD114" s="724"/>
    </row>
    <row r="115" spans="1:30" ht="15.75">
      <c r="A115" s="534"/>
      <c r="B115" s="892"/>
      <c r="C115" s="534"/>
      <c r="D115" s="966"/>
      <c r="E115" s="966"/>
      <c r="F115" s="966"/>
      <c r="G115" s="966"/>
      <c r="H115" s="966"/>
      <c r="I115" s="966"/>
      <c r="J115" s="966"/>
      <c r="K115" s="966"/>
      <c r="L115" s="966"/>
      <c r="M115" s="966"/>
      <c r="N115" s="966"/>
      <c r="O115" s="966"/>
      <c r="P115" s="966"/>
      <c r="Q115" s="964"/>
      <c r="R115" s="964"/>
      <c r="S115" s="964"/>
      <c r="T115" s="964"/>
      <c r="U115" s="534"/>
      <c r="V115" s="534"/>
      <c r="W115" s="534"/>
      <c r="X115" s="896"/>
      <c r="Y115" s="724"/>
      <c r="Z115" s="724"/>
      <c r="AA115" s="724"/>
      <c r="AB115" s="724"/>
      <c r="AC115" s="724"/>
      <c r="AD115" s="724"/>
    </row>
    <row r="116" spans="1:30" ht="15.75">
      <c r="A116" s="528"/>
      <c r="B116" s="892"/>
      <c r="C116" s="534"/>
      <c r="D116" s="966"/>
      <c r="E116" s="966"/>
      <c r="F116" s="966"/>
      <c r="G116" s="966"/>
      <c r="H116" s="966"/>
      <c r="I116" s="966"/>
      <c r="J116" s="966"/>
      <c r="K116" s="966"/>
      <c r="L116" s="966"/>
      <c r="M116" s="966"/>
      <c r="N116" s="966"/>
      <c r="O116" s="966"/>
      <c r="P116" s="966"/>
      <c r="Q116" s="964"/>
      <c r="R116" s="964"/>
      <c r="S116" s="964"/>
      <c r="T116" s="964"/>
      <c r="U116" s="534"/>
      <c r="V116" s="534"/>
      <c r="W116" s="534"/>
      <c r="X116" s="896"/>
    </row>
    <row r="117" spans="1:30" ht="15.75">
      <c r="A117" s="528"/>
      <c r="B117" s="892"/>
      <c r="C117" s="534"/>
      <c r="D117" s="966"/>
      <c r="E117" s="966"/>
      <c r="F117" s="966"/>
      <c r="G117" s="966"/>
      <c r="H117" s="966"/>
      <c r="I117" s="966"/>
      <c r="J117" s="966"/>
      <c r="K117" s="966"/>
      <c r="L117" s="966"/>
      <c r="M117" s="966"/>
      <c r="N117" s="966"/>
      <c r="O117" s="966"/>
      <c r="P117" s="966"/>
      <c r="Q117" s="964"/>
      <c r="R117" s="964"/>
      <c r="S117" s="964"/>
      <c r="T117" s="964"/>
      <c r="U117" s="534"/>
      <c r="V117" s="534"/>
      <c r="W117" s="534"/>
      <c r="X117" s="896"/>
    </row>
    <row r="118" spans="1:30" ht="15.75">
      <c r="A118" s="528"/>
      <c r="B118" s="892"/>
      <c r="C118" s="534"/>
      <c r="D118" s="966"/>
      <c r="E118" s="966"/>
      <c r="F118" s="966"/>
      <c r="G118" s="966"/>
      <c r="H118" s="966"/>
      <c r="I118" s="966"/>
      <c r="J118" s="966"/>
      <c r="K118" s="966"/>
      <c r="L118" s="966"/>
      <c r="M118" s="966"/>
      <c r="N118" s="966"/>
      <c r="O118" s="966"/>
      <c r="P118" s="966"/>
      <c r="Q118" s="964"/>
      <c r="R118" s="964"/>
      <c r="S118" s="964"/>
      <c r="T118" s="964"/>
      <c r="U118" s="534"/>
      <c r="V118" s="534"/>
      <c r="W118" s="534"/>
      <c r="X118" s="896"/>
    </row>
    <row r="119" spans="1:30" ht="15.75">
      <c r="A119" s="528"/>
      <c r="B119" s="892"/>
      <c r="C119" s="534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/>
      <c r="P119" s="966"/>
      <c r="Q119" s="964"/>
      <c r="R119" s="964"/>
      <c r="S119" s="964"/>
      <c r="T119" s="964"/>
      <c r="U119" s="534"/>
      <c r="V119" s="534"/>
      <c r="W119" s="534"/>
      <c r="X119" s="896"/>
    </row>
    <row r="120" spans="1:30" ht="15.75">
      <c r="A120" s="528"/>
      <c r="B120" s="892"/>
      <c r="C120" s="534"/>
      <c r="D120" s="966"/>
      <c r="E120" s="966"/>
      <c r="F120" s="966"/>
      <c r="G120" s="966"/>
      <c r="H120" s="966"/>
      <c r="I120" s="966"/>
      <c r="J120" s="966"/>
      <c r="K120" s="966"/>
      <c r="L120" s="966"/>
      <c r="M120" s="966"/>
      <c r="N120" s="966"/>
      <c r="O120" s="966"/>
      <c r="P120" s="966"/>
      <c r="Q120" s="964"/>
      <c r="R120" s="964"/>
      <c r="S120" s="964"/>
      <c r="T120" s="964"/>
      <c r="U120" s="534"/>
      <c r="V120" s="534"/>
      <c r="W120" s="534"/>
      <c r="X120" s="896"/>
    </row>
    <row r="121" spans="1:30" ht="15.75">
      <c r="A121" s="528"/>
      <c r="B121" s="892"/>
      <c r="C121" s="534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/>
      <c r="P121" s="966"/>
      <c r="Q121" s="964"/>
      <c r="R121" s="964"/>
      <c r="S121" s="964"/>
      <c r="T121" s="964"/>
      <c r="U121" s="534"/>
      <c r="V121" s="534"/>
      <c r="W121" s="534"/>
      <c r="X121" s="896"/>
    </row>
    <row r="122" spans="1:30" ht="15.75">
      <c r="A122" s="528"/>
      <c r="B122" s="892"/>
      <c r="C122" s="534"/>
      <c r="D122" s="966"/>
      <c r="E122" s="966"/>
      <c r="F122" s="966"/>
      <c r="G122" s="966"/>
      <c r="H122" s="966"/>
      <c r="I122" s="966"/>
      <c r="J122" s="966"/>
      <c r="K122" s="966"/>
      <c r="L122" s="966"/>
      <c r="M122" s="966"/>
      <c r="N122" s="966"/>
      <c r="O122" s="966"/>
      <c r="P122" s="966"/>
      <c r="Q122" s="964"/>
      <c r="R122" s="964"/>
      <c r="S122" s="964"/>
      <c r="T122" s="964"/>
      <c r="U122" s="534"/>
      <c r="V122" s="534"/>
      <c r="W122" s="534"/>
      <c r="X122" s="896"/>
    </row>
    <row r="123" spans="1:30" ht="15.75">
      <c r="A123" s="528"/>
      <c r="B123" s="892"/>
      <c r="C123" s="534"/>
      <c r="D123" s="966"/>
      <c r="E123" s="966"/>
      <c r="F123" s="966"/>
      <c r="G123" s="966"/>
      <c r="H123" s="966"/>
      <c r="I123" s="966"/>
      <c r="J123" s="966"/>
      <c r="K123" s="966"/>
      <c r="L123" s="966"/>
      <c r="M123" s="966"/>
      <c r="N123" s="966"/>
      <c r="O123" s="966"/>
      <c r="P123" s="966"/>
      <c r="Q123" s="964"/>
      <c r="R123" s="964"/>
      <c r="S123" s="964"/>
      <c r="T123" s="964"/>
      <c r="U123" s="534"/>
      <c r="V123" s="534"/>
      <c r="W123" s="534"/>
      <c r="X123" s="896"/>
    </row>
    <row r="124" spans="1:30" ht="15.75">
      <c r="A124" s="528"/>
      <c r="B124" s="892"/>
      <c r="C124" s="534"/>
      <c r="D124" s="966"/>
      <c r="E124" s="966"/>
      <c r="F124" s="966"/>
      <c r="G124" s="966"/>
      <c r="H124" s="966"/>
      <c r="I124" s="966"/>
      <c r="J124" s="966"/>
      <c r="K124" s="966"/>
      <c r="L124" s="966"/>
      <c r="M124" s="966"/>
      <c r="N124" s="966"/>
      <c r="O124" s="966"/>
      <c r="P124" s="966"/>
      <c r="Q124" s="964"/>
      <c r="R124" s="964"/>
      <c r="S124" s="964"/>
      <c r="T124" s="964"/>
      <c r="U124" s="534"/>
      <c r="V124" s="534"/>
      <c r="W124" s="534"/>
      <c r="X124" s="896"/>
    </row>
    <row r="125" spans="1:30" ht="15.75">
      <c r="A125" s="528"/>
      <c r="B125" s="892"/>
      <c r="C125" s="534"/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  <c r="N125" s="966"/>
      <c r="O125" s="966"/>
      <c r="P125" s="966"/>
      <c r="Q125" s="964"/>
      <c r="R125" s="964"/>
      <c r="S125" s="964"/>
      <c r="T125" s="964"/>
      <c r="U125" s="534"/>
      <c r="V125" s="534"/>
      <c r="W125" s="534"/>
      <c r="X125" s="896"/>
    </row>
    <row r="126" spans="1:30" ht="15.75">
      <c r="A126" s="528"/>
      <c r="B126" s="892"/>
      <c r="C126" s="534"/>
      <c r="D126" s="966"/>
      <c r="E126" s="966"/>
      <c r="F126" s="966"/>
      <c r="G126" s="966"/>
      <c r="H126" s="966"/>
      <c r="I126" s="966"/>
      <c r="J126" s="966"/>
      <c r="K126" s="966"/>
      <c r="L126" s="966"/>
      <c r="M126" s="966"/>
      <c r="N126" s="966"/>
      <c r="O126" s="966"/>
      <c r="P126" s="966"/>
      <c r="Q126" s="964"/>
      <c r="R126" s="964"/>
      <c r="S126" s="964"/>
      <c r="T126" s="964"/>
      <c r="U126" s="534"/>
      <c r="V126" s="534"/>
      <c r="W126" s="534"/>
      <c r="X126" s="896"/>
    </row>
    <row r="127" spans="1:30" ht="15.75">
      <c r="A127" s="528"/>
      <c r="B127" s="892"/>
      <c r="C127" s="534"/>
      <c r="D127" s="966"/>
      <c r="E127" s="966"/>
      <c r="F127" s="966"/>
      <c r="G127" s="966"/>
      <c r="H127" s="966"/>
      <c r="I127" s="966"/>
      <c r="J127" s="966"/>
      <c r="K127" s="966"/>
      <c r="L127" s="966"/>
      <c r="M127" s="966"/>
      <c r="N127" s="966"/>
      <c r="O127" s="966"/>
      <c r="P127" s="966"/>
      <c r="Q127" s="964"/>
      <c r="R127" s="964"/>
      <c r="S127" s="964"/>
      <c r="T127" s="964"/>
      <c r="U127" s="534"/>
      <c r="V127" s="534"/>
      <c r="W127" s="534"/>
      <c r="X127" s="896"/>
    </row>
    <row r="128" spans="1:30" ht="15.75">
      <c r="A128" s="528"/>
      <c r="B128" s="892"/>
      <c r="C128" s="534"/>
      <c r="D128" s="966"/>
      <c r="E128" s="966"/>
      <c r="F128" s="966"/>
      <c r="G128" s="966"/>
      <c r="H128" s="966"/>
      <c r="I128" s="966"/>
      <c r="J128" s="966"/>
      <c r="K128" s="966"/>
      <c r="L128" s="966"/>
      <c r="M128" s="966"/>
      <c r="N128" s="966"/>
      <c r="O128" s="966"/>
      <c r="P128" s="966"/>
      <c r="Q128" s="964"/>
      <c r="R128" s="964"/>
      <c r="S128" s="964"/>
      <c r="T128" s="964"/>
      <c r="U128" s="534"/>
      <c r="V128" s="534"/>
      <c r="W128" s="534"/>
      <c r="X128" s="896"/>
    </row>
    <row r="129" spans="1:24" ht="15.75">
      <c r="A129" s="528"/>
      <c r="B129" s="892"/>
      <c r="C129" s="534"/>
      <c r="D129" s="966"/>
      <c r="E129" s="966"/>
      <c r="F129" s="966"/>
      <c r="G129" s="966"/>
      <c r="H129" s="966"/>
      <c r="I129" s="966"/>
      <c r="J129" s="966"/>
      <c r="K129" s="966"/>
      <c r="L129" s="966"/>
      <c r="M129" s="966"/>
      <c r="N129" s="966"/>
      <c r="O129" s="966"/>
      <c r="P129" s="966"/>
      <c r="Q129" s="964"/>
      <c r="R129" s="964"/>
      <c r="S129" s="964"/>
      <c r="T129" s="964"/>
      <c r="U129" s="534"/>
      <c r="V129" s="534"/>
      <c r="W129" s="534"/>
      <c r="X129" s="896"/>
    </row>
    <row r="130" spans="1:24" ht="15.75">
      <c r="A130" s="528"/>
      <c r="B130" s="892"/>
      <c r="C130" s="534"/>
      <c r="D130" s="966"/>
      <c r="E130" s="966"/>
      <c r="F130" s="966"/>
      <c r="G130" s="966"/>
      <c r="H130" s="966"/>
      <c r="I130" s="966"/>
      <c r="J130" s="966"/>
      <c r="K130" s="966"/>
      <c r="L130" s="966"/>
      <c r="M130" s="966"/>
      <c r="N130" s="966"/>
      <c r="O130" s="966"/>
      <c r="P130" s="966"/>
      <c r="Q130" s="964"/>
      <c r="R130" s="964"/>
      <c r="S130" s="964"/>
      <c r="T130" s="964"/>
      <c r="U130" s="534"/>
      <c r="V130" s="534"/>
      <c r="W130" s="534"/>
      <c r="X130" s="896"/>
    </row>
    <row r="131" spans="1:24" ht="15.75">
      <c r="A131" s="528"/>
      <c r="B131" s="892"/>
      <c r="C131" s="534"/>
      <c r="D131" s="966"/>
      <c r="E131" s="966"/>
      <c r="F131" s="966"/>
      <c r="G131" s="966"/>
      <c r="H131" s="966"/>
      <c r="I131" s="966"/>
      <c r="J131" s="966"/>
      <c r="K131" s="966"/>
      <c r="L131" s="966"/>
      <c r="M131" s="966"/>
      <c r="N131" s="966"/>
      <c r="O131" s="966"/>
      <c r="P131" s="966"/>
      <c r="Q131" s="964"/>
      <c r="R131" s="964"/>
      <c r="S131" s="964"/>
      <c r="T131" s="964"/>
      <c r="U131" s="534"/>
      <c r="V131" s="534"/>
      <c r="W131" s="534"/>
      <c r="X131" s="896"/>
    </row>
    <row r="132" spans="1:24" ht="15.75">
      <c r="A132" s="528"/>
      <c r="B132" s="892"/>
      <c r="C132" s="534"/>
      <c r="D132" s="966"/>
      <c r="E132" s="966"/>
      <c r="F132" s="966"/>
      <c r="G132" s="966"/>
      <c r="H132" s="966"/>
      <c r="I132" s="966"/>
      <c r="J132" s="966"/>
      <c r="K132" s="966"/>
      <c r="L132" s="966"/>
      <c r="M132" s="966"/>
      <c r="N132" s="966"/>
      <c r="O132" s="966"/>
      <c r="P132" s="966"/>
      <c r="Q132" s="964"/>
      <c r="R132" s="964"/>
      <c r="S132" s="964"/>
      <c r="T132" s="964"/>
      <c r="U132" s="534"/>
      <c r="V132" s="534"/>
      <c r="W132" s="534"/>
      <c r="X132" s="896"/>
    </row>
    <row r="133" spans="1:24" ht="15.75">
      <c r="A133" s="528"/>
      <c r="B133" s="892"/>
      <c r="C133" s="534"/>
      <c r="D133" s="966"/>
      <c r="E133" s="966"/>
      <c r="F133" s="966"/>
      <c r="G133" s="966"/>
      <c r="H133" s="966"/>
      <c r="I133" s="966"/>
      <c r="J133" s="966"/>
      <c r="K133" s="966"/>
      <c r="L133" s="966"/>
      <c r="M133" s="966"/>
      <c r="N133" s="966"/>
      <c r="O133" s="966"/>
      <c r="P133" s="966"/>
      <c r="Q133" s="964"/>
      <c r="R133" s="964"/>
      <c r="S133" s="964"/>
      <c r="T133" s="964"/>
      <c r="U133" s="534"/>
      <c r="V133" s="534"/>
      <c r="W133" s="534"/>
      <c r="X133" s="896"/>
    </row>
    <row r="134" spans="1:24" ht="15.75">
      <c r="A134" s="528"/>
      <c r="B134" s="892"/>
      <c r="C134" s="534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4"/>
      <c r="R134" s="964"/>
      <c r="S134" s="964"/>
      <c r="T134" s="964"/>
      <c r="U134" s="534"/>
      <c r="V134" s="534"/>
      <c r="W134" s="534"/>
      <c r="X134" s="896"/>
    </row>
    <row r="135" spans="1:24" ht="15.75">
      <c r="A135" s="528"/>
      <c r="B135" s="892"/>
      <c r="C135" s="534"/>
      <c r="D135" s="966"/>
      <c r="E135" s="966"/>
      <c r="F135" s="966"/>
      <c r="G135" s="966"/>
      <c r="H135" s="966"/>
      <c r="I135" s="966"/>
      <c r="J135" s="966"/>
      <c r="K135" s="966"/>
      <c r="L135" s="966"/>
      <c r="M135" s="966"/>
      <c r="N135" s="966"/>
      <c r="O135" s="966"/>
      <c r="P135" s="966"/>
      <c r="Q135" s="964"/>
      <c r="R135" s="964"/>
      <c r="S135" s="964"/>
      <c r="T135" s="964"/>
      <c r="U135" s="534"/>
      <c r="V135" s="534"/>
      <c r="W135" s="534"/>
      <c r="X135" s="896"/>
    </row>
    <row r="136" spans="1:24" ht="15.75">
      <c r="A136" s="528"/>
      <c r="B136" s="892"/>
      <c r="C136" s="534"/>
      <c r="D136" s="966"/>
      <c r="E136" s="966"/>
      <c r="F136" s="966"/>
      <c r="G136" s="966"/>
      <c r="H136" s="966"/>
      <c r="I136" s="966"/>
      <c r="J136" s="966"/>
      <c r="K136" s="966"/>
      <c r="L136" s="966"/>
      <c r="M136" s="966"/>
      <c r="N136" s="966"/>
      <c r="O136" s="966"/>
      <c r="P136" s="966"/>
      <c r="Q136" s="964"/>
      <c r="R136" s="964"/>
      <c r="S136" s="964"/>
      <c r="T136" s="964"/>
      <c r="U136" s="534"/>
      <c r="V136" s="534"/>
      <c r="W136" s="534"/>
      <c r="X136" s="896"/>
    </row>
    <row r="137" spans="1:24" ht="15.75">
      <c r="A137" s="528"/>
      <c r="B137" s="892"/>
      <c r="C137" s="534"/>
      <c r="D137" s="966"/>
      <c r="E137" s="966"/>
      <c r="F137" s="966"/>
      <c r="G137" s="966"/>
      <c r="H137" s="966"/>
      <c r="I137" s="966"/>
      <c r="J137" s="966"/>
      <c r="K137" s="966"/>
      <c r="L137" s="966"/>
      <c r="M137" s="966"/>
      <c r="N137" s="966"/>
      <c r="O137" s="966"/>
      <c r="P137" s="966"/>
      <c r="Q137" s="964"/>
      <c r="R137" s="964"/>
      <c r="S137" s="964"/>
      <c r="T137" s="964"/>
      <c r="U137" s="534"/>
      <c r="V137" s="534"/>
      <c r="W137" s="534"/>
      <c r="X137" s="896"/>
    </row>
    <row r="138" spans="1:24" ht="15.75">
      <c r="A138" s="528"/>
      <c r="B138" s="892"/>
      <c r="C138" s="534"/>
      <c r="D138" s="966"/>
      <c r="E138" s="966"/>
      <c r="F138" s="966"/>
      <c r="G138" s="966"/>
      <c r="H138" s="966"/>
      <c r="I138" s="966"/>
      <c r="J138" s="966"/>
      <c r="K138" s="966"/>
      <c r="L138" s="966"/>
      <c r="M138" s="966"/>
      <c r="N138" s="966"/>
      <c r="O138" s="966"/>
      <c r="P138" s="966"/>
      <c r="Q138" s="964"/>
      <c r="R138" s="964"/>
      <c r="S138" s="964"/>
      <c r="T138" s="964"/>
      <c r="U138" s="534"/>
      <c r="V138" s="534"/>
      <c r="W138" s="534"/>
      <c r="X138" s="896"/>
    </row>
    <row r="139" spans="1:24" ht="15.75">
      <c r="A139" s="528"/>
      <c r="B139" s="892"/>
      <c r="C139" s="534"/>
      <c r="D139" s="968"/>
      <c r="E139" s="968"/>
      <c r="F139" s="968"/>
      <c r="G139" s="968"/>
      <c r="H139" s="968"/>
      <c r="I139" s="968"/>
      <c r="J139" s="968"/>
      <c r="K139" s="968"/>
      <c r="L139" s="968"/>
      <c r="M139" s="968"/>
      <c r="N139" s="968"/>
      <c r="O139" s="968"/>
      <c r="P139" s="964"/>
      <c r="Q139" s="966"/>
      <c r="R139" s="966"/>
      <c r="S139" s="964"/>
      <c r="T139" s="964"/>
      <c r="U139" s="534"/>
      <c r="V139" s="534"/>
      <c r="W139" s="534"/>
      <c r="X139" s="896"/>
    </row>
    <row r="140" spans="1:24" ht="15.75" thickBot="1">
      <c r="A140" s="528"/>
      <c r="B140" s="918"/>
      <c r="C140" s="919"/>
      <c r="D140" s="919"/>
      <c r="E140" s="919"/>
      <c r="F140" s="919"/>
      <c r="G140" s="919"/>
      <c r="H140" s="919"/>
      <c r="I140" s="919"/>
      <c r="J140" s="919"/>
      <c r="K140" s="919"/>
      <c r="L140" s="919"/>
      <c r="M140" s="919"/>
      <c r="N140" s="919"/>
      <c r="O140" s="919"/>
      <c r="P140" s="919"/>
      <c r="Q140" s="919"/>
      <c r="R140" s="919"/>
      <c r="S140" s="919"/>
      <c r="T140" s="919"/>
      <c r="U140" s="919"/>
      <c r="V140" s="919"/>
      <c r="W140" s="919"/>
      <c r="X140" s="920"/>
    </row>
    <row r="141" spans="1:24" ht="15" customHeight="1">
      <c r="A141" s="921"/>
      <c r="B141" s="922"/>
      <c r="C141" s="923"/>
      <c r="D141" s="924" t="s">
        <v>663</v>
      </c>
      <c r="E141" s="923"/>
      <c r="F141" s="925"/>
      <c r="G141" s="926"/>
      <c r="H141" s="927" t="s">
        <v>664</v>
      </c>
      <c r="I141" s="928"/>
      <c r="J141" s="927"/>
      <c r="K141" s="927"/>
      <c r="L141" s="927" t="s">
        <v>756</v>
      </c>
      <c r="M141" s="926"/>
      <c r="N141" s="925"/>
      <c r="O141" s="926"/>
      <c r="P141" s="926" t="s">
        <v>665</v>
      </c>
      <c r="Q141" s="929"/>
      <c r="R141" s="927"/>
      <c r="S141" s="927" t="s">
        <v>756</v>
      </c>
      <c r="T141" s="927"/>
      <c r="U141" s="928"/>
      <c r="V141" s="927"/>
      <c r="W141" s="927" t="s">
        <v>667</v>
      </c>
      <c r="X141" s="930"/>
    </row>
    <row r="142" spans="1:24" ht="15" customHeight="1">
      <c r="A142" s="528"/>
      <c r="B142" s="931"/>
      <c r="C142" s="932"/>
      <c r="D142" s="933" t="s">
        <v>757</v>
      </c>
      <c r="E142" s="932"/>
      <c r="F142" s="934"/>
      <c r="G142" s="935"/>
      <c r="H142" s="936" t="s">
        <v>758</v>
      </c>
      <c r="I142" s="937"/>
      <c r="J142" s="936"/>
      <c r="K142" s="936"/>
      <c r="L142" s="936"/>
      <c r="M142" s="935"/>
      <c r="N142" s="938"/>
      <c r="O142" s="935"/>
      <c r="P142" s="935"/>
      <c r="Q142" s="938"/>
      <c r="R142" s="936"/>
      <c r="S142" s="936"/>
      <c r="T142" s="936"/>
      <c r="U142" s="937"/>
      <c r="V142" s="936"/>
      <c r="W142" s="939" t="s">
        <v>669</v>
      </c>
      <c r="X142" s="940"/>
    </row>
    <row r="143" spans="1:24" ht="15" customHeight="1" thickBot="1">
      <c r="A143" s="528"/>
      <c r="B143" s="918"/>
      <c r="C143" s="919"/>
      <c r="D143" s="919"/>
      <c r="E143" s="919"/>
      <c r="F143" s="941"/>
      <c r="G143" s="942"/>
      <c r="H143" s="919"/>
      <c r="I143" s="941"/>
      <c r="J143" s="919"/>
      <c r="K143" s="919"/>
      <c r="L143" s="919"/>
      <c r="M143" s="919"/>
      <c r="N143" s="941"/>
      <c r="O143" s="919"/>
      <c r="P143" s="919"/>
      <c r="Q143" s="941"/>
      <c r="R143" s="919"/>
      <c r="S143" s="919"/>
      <c r="T143" s="919"/>
      <c r="U143" s="941"/>
      <c r="V143" s="919"/>
      <c r="W143" s="919"/>
      <c r="X143" s="920"/>
    </row>
  </sheetData>
  <phoneticPr fontId="12" type="noConversion"/>
  <pageMargins left="0.75" right="0.75" top="0.54" bottom="0.5" header="0.4921259845" footer="0.4921259845"/>
  <pageSetup paperSize="9" scale="55" orientation="portrait" r:id="rId1"/>
  <headerFooter alignWithMargins="0"/>
  <colBreaks count="1" manualBreakCount="1">
    <brk id="25" max="1048575" man="1"/>
  </col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Feuil26">
    <pageSetUpPr fitToPage="1"/>
  </sheetPr>
  <dimension ref="A1:AG126"/>
  <sheetViews>
    <sheetView zoomScale="85" zoomScaleNormal="85" zoomScaleSheetLayoutView="70" workbookViewId="0">
      <selection activeCell="E117" sqref="E117"/>
    </sheetView>
  </sheetViews>
  <sheetFormatPr defaultColWidth="11.42578125" defaultRowHeight="12.75"/>
  <cols>
    <col min="1" max="1" width="1.85546875" style="91" customWidth="1"/>
    <col min="2" max="2" width="3" style="91" customWidth="1"/>
    <col min="3" max="4" width="4" style="91" customWidth="1"/>
    <col min="5" max="5" width="6" style="91" bestFit="1" customWidth="1"/>
    <col min="6" max="6" width="4" style="91" customWidth="1"/>
    <col min="7" max="7" width="7.28515625" style="91" customWidth="1"/>
    <col min="8" max="9" width="8.42578125" style="91" customWidth="1"/>
    <col min="10" max="10" width="10.7109375" style="91" bestFit="1" customWidth="1"/>
    <col min="11" max="11" width="11.140625" style="91" customWidth="1"/>
    <col min="12" max="12" width="12.28515625" style="91" bestFit="1" customWidth="1"/>
    <col min="13" max="13" width="18" style="91" bestFit="1" customWidth="1"/>
    <col min="14" max="14" width="6.85546875" style="91" customWidth="1"/>
    <col min="15" max="15" width="10.140625" style="91" customWidth="1"/>
    <col min="16" max="16" width="10.5703125" style="91" bestFit="1" customWidth="1"/>
    <col min="17" max="17" width="3.28515625" style="91" bestFit="1" customWidth="1"/>
    <col min="18" max="18" width="9.85546875" style="91" bestFit="1" customWidth="1"/>
    <col min="19" max="19" width="13.28515625" style="91" customWidth="1"/>
    <col min="20" max="20" width="12.42578125" style="91" bestFit="1" customWidth="1"/>
    <col min="21" max="21" width="8" style="91" bestFit="1" customWidth="1"/>
    <col min="22" max="22" width="3.42578125" style="91" customWidth="1"/>
    <col min="23" max="27" width="3.28515625" style="91" customWidth="1"/>
    <col min="28" max="28" width="1.85546875" style="91" customWidth="1"/>
    <col min="29" max="30" width="3.85546875" style="91" customWidth="1"/>
    <col min="31" max="31" width="12.28515625" style="91" bestFit="1" customWidth="1"/>
    <col min="32" max="33" width="3.85546875" style="91" customWidth="1"/>
    <col min="34" max="16384" width="11.42578125" style="91"/>
  </cols>
  <sheetData>
    <row r="1" spans="1:33" ht="8.25" customHeight="1" thickBot="1"/>
    <row r="2" spans="1:33" ht="18" customHeight="1">
      <c r="A2" s="94"/>
      <c r="B2" s="516"/>
      <c r="C2" s="401"/>
      <c r="D2" s="401"/>
      <c r="E2" s="401"/>
      <c r="F2" s="401"/>
      <c r="G2" s="401"/>
      <c r="H2" s="705"/>
      <c r="I2" s="401"/>
      <c r="J2" s="706" t="s">
        <v>634</v>
      </c>
      <c r="K2" s="707"/>
      <c r="L2" s="707"/>
      <c r="M2" s="708" t="s">
        <v>748</v>
      </c>
      <c r="N2" s="707"/>
      <c r="O2" s="707"/>
      <c r="P2" s="401"/>
      <c r="Q2" s="401"/>
      <c r="R2" s="401"/>
      <c r="S2" s="401"/>
      <c r="T2" s="401"/>
      <c r="U2" s="401"/>
      <c r="V2" s="705"/>
      <c r="W2" s="401"/>
      <c r="X2" s="401"/>
      <c r="Y2" s="443" t="s">
        <v>635</v>
      </c>
      <c r="Z2" s="401"/>
      <c r="AA2" s="517"/>
      <c r="AC2" s="94"/>
      <c r="AD2" s="94"/>
      <c r="AE2" s="94"/>
      <c r="AF2" s="94"/>
      <c r="AG2" s="94"/>
    </row>
    <row r="3" spans="1:33">
      <c r="A3" s="94"/>
      <c r="B3" s="709"/>
      <c r="C3" s="710"/>
      <c r="D3" s="710"/>
      <c r="E3" s="710"/>
      <c r="F3" s="710"/>
      <c r="G3" s="710"/>
      <c r="H3" s="711"/>
      <c r="I3" s="710"/>
      <c r="J3" s="712" t="s">
        <v>636</v>
      </c>
      <c r="K3" s="710"/>
      <c r="L3" s="710"/>
      <c r="M3" s="713" t="s">
        <v>749</v>
      </c>
      <c r="N3" s="710"/>
      <c r="O3" s="710"/>
      <c r="P3" s="94"/>
      <c r="Q3" s="94"/>
      <c r="R3" s="94"/>
      <c r="S3" s="94"/>
      <c r="T3" s="94"/>
      <c r="U3" s="94"/>
      <c r="V3" s="714"/>
      <c r="W3" s="94"/>
      <c r="X3" s="94"/>
      <c r="Y3" s="472" t="s">
        <v>750</v>
      </c>
      <c r="Z3" s="94"/>
      <c r="AA3" s="345"/>
      <c r="AC3" s="94"/>
      <c r="AD3" s="94"/>
      <c r="AE3" s="94"/>
      <c r="AF3" s="94"/>
      <c r="AG3" s="94"/>
    </row>
    <row r="4" spans="1:33">
      <c r="A4" s="94"/>
      <c r="B4" s="715"/>
      <c r="C4" s="716"/>
      <c r="D4" s="716"/>
      <c r="E4" s="716"/>
      <c r="F4" s="716"/>
      <c r="G4" s="716"/>
      <c r="H4" s="717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8"/>
      <c r="V4" s="719"/>
      <c r="W4" s="720"/>
      <c r="X4" s="721"/>
      <c r="Y4" s="721"/>
      <c r="Z4" s="721"/>
      <c r="AA4" s="722"/>
      <c r="AC4" s="723"/>
      <c r="AD4" s="723"/>
      <c r="AE4" s="723"/>
      <c r="AF4" s="723"/>
      <c r="AG4" s="723"/>
    </row>
    <row r="5" spans="1:33">
      <c r="A5" s="94"/>
      <c r="B5" s="709"/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24"/>
      <c r="V5" s="714"/>
      <c r="W5" s="725"/>
      <c r="X5" s="725"/>
      <c r="Y5" s="726" t="s">
        <v>640</v>
      </c>
      <c r="Z5" s="725"/>
      <c r="AA5" s="345"/>
      <c r="AC5" s="723"/>
      <c r="AD5" s="723"/>
      <c r="AE5" s="723"/>
      <c r="AF5" s="723"/>
      <c r="AG5" s="723"/>
    </row>
    <row r="6" spans="1:33">
      <c r="A6" s="94"/>
      <c r="B6" s="1247" t="s">
        <v>751</v>
      </c>
      <c r="C6" s="1248"/>
      <c r="D6" s="1248"/>
      <c r="E6" s="1248"/>
      <c r="F6" s="1248"/>
      <c r="G6" s="1248"/>
      <c r="H6" s="1248"/>
      <c r="I6" s="1248"/>
      <c r="J6" s="1248"/>
      <c r="K6" s="1248"/>
      <c r="L6" s="1248"/>
      <c r="M6" s="1248"/>
      <c r="N6" s="1248"/>
      <c r="O6" s="1248"/>
      <c r="P6" s="1248"/>
      <c r="Q6" s="1248"/>
      <c r="R6" s="1248"/>
      <c r="S6" s="1248"/>
      <c r="T6" s="1248"/>
      <c r="U6" s="1248"/>
      <c r="V6" s="1249"/>
      <c r="W6" s="728"/>
      <c r="X6" s="728"/>
      <c r="Y6" s="472" t="s">
        <v>752</v>
      </c>
      <c r="Z6" s="728"/>
      <c r="AA6" s="345"/>
    </row>
    <row r="7" spans="1:33" ht="12.75" customHeight="1">
      <c r="A7" s="94"/>
      <c r="B7" s="729"/>
      <c r="C7" s="730"/>
      <c r="D7" s="730"/>
      <c r="E7" s="730"/>
      <c r="F7" s="730"/>
      <c r="G7" s="730"/>
      <c r="H7" s="730"/>
      <c r="I7" s="730"/>
      <c r="J7" s="731"/>
      <c r="K7" s="730"/>
      <c r="L7" s="731"/>
      <c r="M7" s="730"/>
      <c r="N7" s="730"/>
      <c r="O7" s="730"/>
      <c r="P7" s="730"/>
      <c r="Q7" s="730"/>
      <c r="R7" s="730"/>
      <c r="S7" s="730"/>
      <c r="T7" s="731"/>
      <c r="U7" s="732"/>
      <c r="V7" s="733"/>
      <c r="W7" s="732"/>
      <c r="X7" s="732"/>
      <c r="Y7" s="732"/>
      <c r="Z7" s="732"/>
      <c r="AA7" s="734"/>
      <c r="AB7" s="735"/>
      <c r="AC7" s="735"/>
      <c r="AD7" s="735"/>
      <c r="AE7" s="735"/>
      <c r="AF7" s="735"/>
      <c r="AG7" s="735"/>
    </row>
    <row r="8" spans="1:33" ht="13.5" thickBot="1">
      <c r="A8" s="94"/>
      <c r="B8" s="736"/>
      <c r="C8" s="737"/>
      <c r="D8" s="737"/>
      <c r="E8" s="737"/>
      <c r="F8" s="737"/>
      <c r="G8" s="737"/>
      <c r="H8" s="737"/>
      <c r="I8" s="737"/>
      <c r="J8" s="737"/>
      <c r="K8" s="737"/>
      <c r="L8" s="737"/>
      <c r="M8" s="737"/>
      <c r="N8" s="737"/>
      <c r="O8" s="737"/>
      <c r="P8" s="737"/>
      <c r="Q8" s="737"/>
      <c r="R8" s="737"/>
      <c r="S8" s="737"/>
      <c r="T8" s="738"/>
      <c r="U8" s="738"/>
      <c r="V8" s="739"/>
      <c r="W8" s="738"/>
      <c r="X8" s="738"/>
      <c r="Y8" s="738"/>
      <c r="Z8" s="738"/>
      <c r="AA8" s="740"/>
      <c r="AB8" s="735"/>
      <c r="AC8" s="735"/>
      <c r="AD8" s="735"/>
      <c r="AE8" s="735"/>
      <c r="AF8" s="735"/>
      <c r="AG8" s="735"/>
    </row>
    <row r="9" spans="1:33">
      <c r="A9" s="94"/>
      <c r="B9" s="741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444"/>
      <c r="V9" s="742"/>
      <c r="W9" s="742"/>
      <c r="X9" s="742"/>
      <c r="Y9" s="742" t="s">
        <v>642</v>
      </c>
      <c r="Z9" s="742"/>
      <c r="AA9" s="743"/>
      <c r="AB9" s="724"/>
      <c r="AC9" s="724"/>
      <c r="AD9" s="724"/>
      <c r="AE9" s="724"/>
      <c r="AF9" s="724"/>
      <c r="AG9" s="724"/>
    </row>
    <row r="10" spans="1:33">
      <c r="A10" s="94"/>
      <c r="B10" s="709"/>
      <c r="C10" s="724"/>
      <c r="D10" s="724"/>
      <c r="E10" s="724"/>
      <c r="F10" s="724"/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449"/>
      <c r="V10" s="724"/>
      <c r="W10" s="724"/>
      <c r="X10" s="724"/>
      <c r="Y10" s="724"/>
      <c r="Z10" s="724"/>
      <c r="AA10" s="744"/>
      <c r="AB10" s="724"/>
      <c r="AC10" s="724"/>
      <c r="AD10" s="724"/>
      <c r="AE10" s="724"/>
      <c r="AF10" s="724"/>
      <c r="AG10" s="724"/>
    </row>
    <row r="11" spans="1:33" ht="15.75">
      <c r="A11" s="94"/>
      <c r="B11" s="709"/>
      <c r="C11" s="724"/>
      <c r="D11" s="745" t="s">
        <v>753</v>
      </c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7"/>
      <c r="U11" s="747"/>
      <c r="V11" s="748"/>
      <c r="W11" s="724"/>
      <c r="X11" s="724"/>
      <c r="Y11" s="724"/>
      <c r="Z11" s="724"/>
      <c r="AA11" s="744"/>
      <c r="AB11" s="724"/>
      <c r="AC11" s="724"/>
      <c r="AD11" s="724"/>
      <c r="AE11" s="724"/>
      <c r="AF11" s="724"/>
      <c r="AG11" s="724"/>
    </row>
    <row r="12" spans="1:33" ht="15.75">
      <c r="A12" s="94"/>
      <c r="B12" s="709"/>
      <c r="C12" s="724"/>
      <c r="D12" s="749"/>
      <c r="E12" s="750"/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750"/>
      <c r="Q12" s="750"/>
      <c r="R12" s="750"/>
      <c r="S12" s="750"/>
      <c r="T12" s="751"/>
      <c r="U12" s="751"/>
      <c r="V12" s="94"/>
      <c r="W12" s="724"/>
      <c r="X12" s="724"/>
      <c r="Y12" s="724"/>
      <c r="Z12" s="724"/>
      <c r="AA12" s="744"/>
      <c r="AB12" s="724"/>
      <c r="AC12" s="724"/>
      <c r="AD12" s="724"/>
      <c r="AE12" s="724"/>
      <c r="AF12" s="724"/>
      <c r="AG12" s="724"/>
    </row>
    <row r="13" spans="1:33" ht="15">
      <c r="A13" s="94"/>
      <c r="B13" s="709"/>
      <c r="C13" s="724"/>
      <c r="D13" s="752" t="s">
        <v>754</v>
      </c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1"/>
      <c r="U13" s="751"/>
      <c r="V13" s="94"/>
      <c r="W13" s="724"/>
      <c r="X13" s="724"/>
      <c r="Y13" s="724"/>
      <c r="Z13" s="724"/>
      <c r="AA13" s="744"/>
      <c r="AB13" s="724"/>
      <c r="AC13" s="724"/>
      <c r="AD13" s="724"/>
      <c r="AE13" s="724"/>
      <c r="AF13" s="724"/>
      <c r="AG13" s="724"/>
    </row>
    <row r="14" spans="1:33" ht="15">
      <c r="A14" s="94"/>
      <c r="B14" s="709"/>
      <c r="C14" s="724"/>
      <c r="D14" s="752" t="s">
        <v>755</v>
      </c>
      <c r="E14" s="753"/>
      <c r="F14" s="753"/>
      <c r="G14" s="753"/>
      <c r="H14" s="753"/>
      <c r="I14" s="753"/>
      <c r="J14" s="753"/>
      <c r="K14" s="753"/>
      <c r="L14" s="753"/>
      <c r="M14" s="753"/>
      <c r="N14" s="753"/>
      <c r="O14" s="753"/>
      <c r="P14" s="753"/>
      <c r="Q14" s="753"/>
      <c r="R14" s="753"/>
      <c r="S14" s="753"/>
      <c r="T14" s="751"/>
      <c r="U14" s="751"/>
      <c r="V14" s="94"/>
      <c r="W14" s="724"/>
      <c r="X14" s="724"/>
      <c r="Y14" s="724"/>
      <c r="Z14" s="724"/>
      <c r="AA14" s="744"/>
      <c r="AB14" s="724"/>
      <c r="AC14" s="724"/>
      <c r="AD14" s="724"/>
      <c r="AE14" s="724"/>
      <c r="AF14" s="724"/>
      <c r="AG14" s="724"/>
    </row>
    <row r="15" spans="1:33" ht="15.75">
      <c r="A15" s="94"/>
      <c r="B15" s="709"/>
      <c r="C15" s="724"/>
      <c r="D15" s="749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1"/>
      <c r="U15" s="751"/>
      <c r="V15" s="94"/>
      <c r="W15" s="724"/>
      <c r="X15" s="724"/>
      <c r="Y15" s="724"/>
      <c r="Z15" s="724"/>
      <c r="AA15" s="744"/>
      <c r="AB15" s="724"/>
      <c r="AC15" s="724"/>
      <c r="AD15" s="724"/>
      <c r="AE15" s="724"/>
      <c r="AF15" s="724"/>
      <c r="AG15" s="724"/>
    </row>
    <row r="16" spans="1:33">
      <c r="B16" s="51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345"/>
    </row>
    <row r="17" spans="2:27">
      <c r="B17" s="51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345"/>
    </row>
    <row r="18" spans="2:27">
      <c r="B18" s="51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345"/>
    </row>
    <row r="19" spans="2:27">
      <c r="B19" s="51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345"/>
    </row>
    <row r="20" spans="2:27">
      <c r="B20" s="51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345"/>
    </row>
    <row r="21" spans="2:27">
      <c r="B21" s="51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345"/>
    </row>
    <row r="22" spans="2:27">
      <c r="B22" s="51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345"/>
    </row>
    <row r="23" spans="2:27">
      <c r="B23" s="51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345"/>
    </row>
    <row r="24" spans="2:27">
      <c r="B24" s="51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345"/>
    </row>
    <row r="25" spans="2:27">
      <c r="B25" s="51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345"/>
    </row>
    <row r="26" spans="2:27">
      <c r="B26" s="51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345"/>
    </row>
    <row r="27" spans="2:27">
      <c r="B27" s="51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345"/>
    </row>
    <row r="28" spans="2:27">
      <c r="B28" s="51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345"/>
    </row>
    <row r="29" spans="2:27">
      <c r="B29" s="51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345"/>
    </row>
    <row r="30" spans="2:27">
      <c r="B30" s="518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345"/>
    </row>
    <row r="31" spans="2:27">
      <c r="B31" s="518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345"/>
    </row>
    <row r="32" spans="2:27">
      <c r="B32" s="518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345"/>
    </row>
    <row r="33" spans="2:27">
      <c r="B33" s="518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345"/>
    </row>
    <row r="34" spans="2:27">
      <c r="B34" s="518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345"/>
    </row>
    <row r="35" spans="2:27">
      <c r="B35" s="518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345"/>
    </row>
    <row r="36" spans="2:27">
      <c r="B36" s="51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345"/>
    </row>
    <row r="37" spans="2:27">
      <c r="B37" s="518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345"/>
    </row>
    <row r="38" spans="2:27">
      <c r="B38" s="518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345"/>
    </row>
    <row r="39" spans="2:27">
      <c r="B39" s="518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345"/>
    </row>
    <row r="40" spans="2:27">
      <c r="B40" s="518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345"/>
    </row>
    <row r="41" spans="2:27">
      <c r="B41" s="518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345"/>
    </row>
    <row r="42" spans="2:27">
      <c r="B42" s="518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345"/>
    </row>
    <row r="43" spans="2:27">
      <c r="B43" s="518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345"/>
    </row>
    <row r="44" spans="2:27">
      <c r="B44" s="518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345"/>
    </row>
    <row r="45" spans="2:27">
      <c r="B45" s="518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345"/>
    </row>
    <row r="46" spans="2:27">
      <c r="B46" s="518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345"/>
    </row>
    <row r="47" spans="2:27" ht="15.75">
      <c r="B47" s="518"/>
      <c r="C47" s="94"/>
      <c r="D47" s="745" t="s">
        <v>753</v>
      </c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46"/>
      <c r="P47" s="746"/>
      <c r="Q47" s="746"/>
      <c r="R47" s="746"/>
      <c r="S47" s="746"/>
      <c r="T47" s="747"/>
      <c r="U47" s="747"/>
      <c r="V47" s="748"/>
      <c r="W47" s="94"/>
      <c r="X47" s="94"/>
      <c r="Y47" s="94"/>
      <c r="Z47" s="94"/>
      <c r="AA47" s="345"/>
    </row>
    <row r="48" spans="2:27">
      <c r="B48" s="518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345"/>
    </row>
    <row r="49" spans="2:27">
      <c r="B49" s="518"/>
      <c r="C49" s="94"/>
      <c r="D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345"/>
    </row>
    <row r="50" spans="2:27">
      <c r="B50" s="518"/>
      <c r="C50" s="94"/>
      <c r="D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345"/>
    </row>
    <row r="51" spans="2:27">
      <c r="B51" s="518"/>
      <c r="C51" s="94"/>
      <c r="D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345"/>
    </row>
    <row r="52" spans="2:27">
      <c r="B52" s="518"/>
      <c r="C52" s="94"/>
      <c r="D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345"/>
    </row>
    <row r="53" spans="2:27">
      <c r="B53" s="518"/>
      <c r="C53" s="94"/>
      <c r="D53" s="94"/>
      <c r="G53" s="94"/>
      <c r="I53" s="796" t="s">
        <v>241</v>
      </c>
      <c r="J53" s="696">
        <v>314</v>
      </c>
      <c r="K53" s="788">
        <f>J53-273.15</f>
        <v>40.850000000000023</v>
      </c>
      <c r="Q53" s="796" t="s">
        <v>241</v>
      </c>
      <c r="R53" s="696">
        <v>294.5</v>
      </c>
      <c r="S53" s="788">
        <f>R53-273.15</f>
        <v>21.350000000000023</v>
      </c>
      <c r="T53" s="94"/>
      <c r="U53" s="94"/>
      <c r="V53" s="94"/>
      <c r="W53" s="94"/>
      <c r="X53" s="94"/>
      <c r="Y53" s="94"/>
      <c r="Z53" s="94"/>
      <c r="AA53" s="345"/>
    </row>
    <row r="54" spans="2:27">
      <c r="B54" s="518"/>
      <c r="C54" s="94"/>
      <c r="D54" s="333"/>
      <c r="G54" s="94"/>
      <c r="H54" s="333"/>
      <c r="I54" s="796" t="s">
        <v>240</v>
      </c>
      <c r="J54" s="804">
        <v>10.5</v>
      </c>
      <c r="Q54" s="796" t="s">
        <v>240</v>
      </c>
      <c r="R54" s="789">
        <v>10.45</v>
      </c>
      <c r="T54" s="94"/>
      <c r="U54" s="94"/>
      <c r="V54" s="94"/>
      <c r="W54" s="94"/>
      <c r="X54" s="94"/>
      <c r="Y54" s="94"/>
      <c r="Z54" s="94"/>
      <c r="AA54" s="345"/>
    </row>
    <row r="55" spans="2:27">
      <c r="B55" s="518"/>
      <c r="C55" s="94"/>
      <c r="G55" s="94"/>
      <c r="I55" s="796" t="s">
        <v>759</v>
      </c>
      <c r="J55" s="805">
        <v>54</v>
      </c>
      <c r="K55" s="797" t="e">
        <f ca="1">J55/Rho(11,J54,J53)*60</f>
        <v>#NAME?</v>
      </c>
      <c r="Q55" s="796" t="s">
        <v>759</v>
      </c>
      <c r="R55" s="790">
        <f>J55</f>
        <v>54</v>
      </c>
      <c r="S55" s="791" t="e">
        <f ca="1">R55/Rho(11,R54,R53)*60</f>
        <v>#NAME?</v>
      </c>
      <c r="T55" s="94"/>
      <c r="U55" s="94"/>
      <c r="V55" s="94"/>
      <c r="W55" s="94"/>
      <c r="X55" s="94"/>
      <c r="Y55" s="94"/>
      <c r="Z55" s="94"/>
      <c r="AA55" s="345"/>
    </row>
    <row r="56" spans="2:27">
      <c r="B56" s="518"/>
      <c r="C56" s="94"/>
      <c r="G56" s="94"/>
      <c r="I56" s="796" t="s">
        <v>146</v>
      </c>
      <c r="J56" s="792">
        <f>[9]!cp_(11,J54,J53)</f>
        <v>5.1922274539723974</v>
      </c>
      <c r="Q56" s="796" t="s">
        <v>146</v>
      </c>
      <c r="R56" s="792">
        <f>[9]!cp_(11,R54,R53)</f>
        <v>5.1923056063783077</v>
      </c>
      <c r="T56" s="94"/>
      <c r="U56" s="94"/>
      <c r="V56" s="94"/>
      <c r="W56" s="94"/>
      <c r="X56" s="94"/>
      <c r="Y56" s="94"/>
      <c r="Z56" s="94"/>
      <c r="AA56" s="345"/>
    </row>
    <row r="57" spans="2:27">
      <c r="B57" s="518"/>
      <c r="C57" s="94"/>
      <c r="G57" s="94"/>
      <c r="I57" s="92"/>
      <c r="J57" s="792"/>
      <c r="T57" s="94"/>
      <c r="U57" s="94"/>
      <c r="V57" s="94"/>
      <c r="W57" s="94"/>
      <c r="X57" s="94"/>
      <c r="Y57" s="94"/>
      <c r="Z57" s="94"/>
      <c r="AA57" s="345"/>
    </row>
    <row r="58" spans="2:27">
      <c r="B58" s="518"/>
      <c r="C58" s="94"/>
      <c r="G58" s="94"/>
      <c r="I58" s="92"/>
      <c r="Q58" s="92"/>
      <c r="T58" s="94"/>
      <c r="U58" s="94"/>
      <c r="V58" s="94"/>
      <c r="W58" s="94"/>
      <c r="X58" s="94"/>
      <c r="Y58" s="94"/>
      <c r="Z58" s="94"/>
      <c r="AA58" s="345"/>
    </row>
    <row r="59" spans="2:27">
      <c r="B59" s="518"/>
      <c r="C59" s="94"/>
      <c r="G59" s="94"/>
      <c r="I59" s="796"/>
      <c r="J59" s="787"/>
      <c r="K59" s="794"/>
      <c r="Q59" s="96"/>
      <c r="R59" s="787"/>
      <c r="T59" s="94"/>
      <c r="U59" s="94"/>
      <c r="V59" s="94"/>
      <c r="W59" s="94"/>
      <c r="X59" s="94"/>
      <c r="Y59" s="94"/>
      <c r="Z59" s="94"/>
      <c r="AA59" s="345"/>
    </row>
    <row r="60" spans="2:27">
      <c r="B60" s="518"/>
      <c r="C60" s="94"/>
      <c r="D60" s="333"/>
      <c r="G60" s="94"/>
      <c r="H60" s="333"/>
      <c r="I60" s="796"/>
      <c r="J60" s="789"/>
      <c r="Q60" s="96"/>
      <c r="R60" s="789"/>
      <c r="T60" s="94"/>
      <c r="U60" s="94"/>
      <c r="V60" s="94"/>
      <c r="W60" s="94"/>
      <c r="X60" s="94"/>
      <c r="Y60" s="94"/>
      <c r="Z60" s="94"/>
      <c r="AA60" s="345"/>
    </row>
    <row r="61" spans="2:27">
      <c r="B61" s="518"/>
      <c r="C61" s="94"/>
      <c r="G61" s="94"/>
      <c r="I61" s="796"/>
      <c r="J61" s="790"/>
      <c r="K61" s="794"/>
      <c r="Q61" s="96"/>
      <c r="R61" s="790"/>
      <c r="S61" s="794"/>
      <c r="T61" s="94"/>
      <c r="U61" s="94"/>
      <c r="V61" s="94"/>
      <c r="W61" s="94"/>
      <c r="X61" s="94"/>
      <c r="Y61" s="94"/>
      <c r="Z61" s="94"/>
      <c r="AA61" s="345"/>
    </row>
    <row r="62" spans="2:27">
      <c r="B62" s="518"/>
      <c r="C62" s="94"/>
      <c r="D62" s="94"/>
      <c r="G62" s="94"/>
      <c r="I62" s="796"/>
      <c r="J62" s="792"/>
      <c r="Q62" s="96"/>
      <c r="R62" s="792"/>
      <c r="T62" s="94"/>
      <c r="U62" s="94"/>
      <c r="V62" s="94"/>
      <c r="W62" s="94"/>
      <c r="X62" s="94"/>
      <c r="Y62" s="94"/>
      <c r="Z62" s="94"/>
      <c r="AA62" s="345"/>
    </row>
    <row r="63" spans="2:27">
      <c r="B63" s="518"/>
      <c r="C63" s="94"/>
      <c r="D63" s="94"/>
      <c r="G63" s="94"/>
      <c r="I63" s="92"/>
      <c r="J63" s="792"/>
      <c r="Q63" s="795"/>
      <c r="T63" s="94"/>
      <c r="U63" s="94"/>
      <c r="V63" s="94"/>
      <c r="W63" s="94"/>
      <c r="X63" s="94"/>
      <c r="Y63" s="94"/>
      <c r="Z63" s="94"/>
      <c r="AA63" s="345"/>
    </row>
    <row r="64" spans="2:27">
      <c r="B64" s="518"/>
      <c r="C64" s="94"/>
      <c r="D64" s="94"/>
      <c r="G64" s="94"/>
      <c r="I64" s="92"/>
      <c r="J64" s="792"/>
      <c r="K64" s="801" t="s">
        <v>761</v>
      </c>
      <c r="L64" s="94"/>
      <c r="M64" s="94"/>
      <c r="N64" s="94"/>
      <c r="O64" s="799"/>
      <c r="P64" s="800">
        <f>J55*J56*(ABS(R53-J53))</f>
        <v>5467.415509032935</v>
      </c>
      <c r="Q64" s="92"/>
      <c r="R64" s="792"/>
      <c r="T64" s="94"/>
      <c r="U64" s="94"/>
      <c r="V64" s="94"/>
      <c r="W64" s="94"/>
      <c r="X64" s="94"/>
      <c r="Y64" s="94"/>
      <c r="Z64" s="94"/>
      <c r="AA64" s="345"/>
    </row>
    <row r="65" spans="2:27">
      <c r="B65" s="518"/>
      <c r="C65" s="94"/>
      <c r="D65" s="94"/>
      <c r="G65" s="94"/>
      <c r="I65" s="92"/>
      <c r="J65" s="792"/>
      <c r="K65" s="792"/>
      <c r="P65" s="95"/>
      <c r="Q65" s="92"/>
      <c r="R65" s="792"/>
      <c r="T65" s="94"/>
      <c r="U65" s="94"/>
      <c r="V65" s="94"/>
      <c r="W65" s="94"/>
      <c r="X65" s="94"/>
      <c r="Y65" s="94"/>
      <c r="Z65" s="94"/>
      <c r="AA65" s="345"/>
    </row>
    <row r="66" spans="2:27">
      <c r="B66" s="518"/>
      <c r="C66" s="94"/>
      <c r="D66" s="94"/>
      <c r="G66" s="94"/>
      <c r="I66" s="92"/>
      <c r="J66" s="792"/>
      <c r="K66" s="792" t="s">
        <v>762</v>
      </c>
      <c r="P66" s="800">
        <v>2000</v>
      </c>
      <c r="Q66" s="92"/>
      <c r="R66" s="792"/>
      <c r="T66" s="94"/>
      <c r="U66" s="94"/>
      <c r="V66" s="94"/>
      <c r="W66" s="94"/>
      <c r="X66" s="94"/>
      <c r="Y66" s="94"/>
      <c r="Z66" s="94"/>
      <c r="AA66" s="345"/>
    </row>
    <row r="67" spans="2:27">
      <c r="B67" s="518"/>
      <c r="C67" s="94"/>
      <c r="D67" s="94"/>
      <c r="E67" s="94"/>
      <c r="G67" s="92"/>
      <c r="H67" s="792"/>
      <c r="P67" s="92"/>
      <c r="R67" s="94"/>
      <c r="S67" s="94"/>
      <c r="T67" s="94"/>
      <c r="U67" s="94"/>
      <c r="V67" s="94"/>
      <c r="W67" s="94"/>
      <c r="X67" s="94"/>
      <c r="Y67" s="94"/>
      <c r="Z67" s="94"/>
      <c r="AA67" s="345"/>
    </row>
    <row r="68" spans="2:27">
      <c r="B68" s="518"/>
      <c r="C68" s="94"/>
      <c r="D68" s="94"/>
      <c r="E68" s="94"/>
      <c r="G68" s="92"/>
      <c r="H68" s="792"/>
      <c r="K68" s="91" t="s">
        <v>763</v>
      </c>
      <c r="P68" s="802">
        <f>P66+P64</f>
        <v>7467.415509032935</v>
      </c>
      <c r="R68" s="94"/>
      <c r="S68" s="94"/>
      <c r="T68" s="94"/>
      <c r="U68" s="94"/>
      <c r="V68" s="94"/>
      <c r="W68" s="94"/>
      <c r="X68" s="94"/>
      <c r="Y68" s="94"/>
      <c r="Z68" s="94"/>
      <c r="AA68" s="345"/>
    </row>
    <row r="69" spans="2:27">
      <c r="B69" s="518"/>
      <c r="C69" s="94"/>
      <c r="D69" s="94"/>
      <c r="E69" s="94"/>
      <c r="G69" s="92"/>
      <c r="H69" s="792"/>
      <c r="P69" s="802"/>
      <c r="R69" s="94"/>
      <c r="S69" s="94"/>
      <c r="T69" s="94"/>
      <c r="U69" s="94"/>
      <c r="V69" s="94"/>
      <c r="W69" s="94"/>
      <c r="X69" s="94"/>
      <c r="Y69" s="94"/>
      <c r="Z69" s="94"/>
      <c r="AA69" s="345"/>
    </row>
    <row r="70" spans="2:27">
      <c r="B70" s="518"/>
      <c r="C70" s="94"/>
      <c r="D70" s="94"/>
      <c r="E70" s="94"/>
      <c r="G70" s="92"/>
      <c r="H70" s="792"/>
      <c r="P70" s="802"/>
      <c r="R70" s="94"/>
      <c r="S70" s="94"/>
      <c r="T70" s="94"/>
      <c r="U70" s="94"/>
      <c r="V70" s="94"/>
      <c r="W70" s="94"/>
      <c r="X70" s="94"/>
      <c r="Y70" s="94"/>
      <c r="Z70" s="94"/>
      <c r="AA70" s="345"/>
    </row>
    <row r="71" spans="2:27">
      <c r="B71" s="518"/>
      <c r="C71" s="94"/>
      <c r="D71" s="94"/>
      <c r="E71" s="94"/>
      <c r="G71" s="92"/>
      <c r="H71" s="792"/>
      <c r="P71" s="802"/>
      <c r="R71" s="94"/>
      <c r="S71" s="94"/>
      <c r="T71" s="94"/>
      <c r="U71" s="94"/>
      <c r="V71" s="94"/>
      <c r="W71" s="94"/>
      <c r="X71" s="94"/>
      <c r="Y71" s="94"/>
      <c r="Z71" s="94"/>
      <c r="AA71" s="345"/>
    </row>
    <row r="72" spans="2:27">
      <c r="B72" s="518"/>
      <c r="C72" s="94"/>
      <c r="D72" s="94"/>
      <c r="E72" s="94"/>
      <c r="G72" s="92"/>
      <c r="H72" s="792"/>
      <c r="P72" s="802"/>
      <c r="R72" s="94"/>
      <c r="S72" s="94"/>
      <c r="T72" s="94"/>
      <c r="U72" s="94"/>
      <c r="V72" s="94"/>
      <c r="W72" s="94"/>
      <c r="X72" s="94"/>
      <c r="Y72" s="94"/>
      <c r="Z72" s="94"/>
      <c r="AA72" s="345"/>
    </row>
    <row r="73" spans="2:27" ht="15.75">
      <c r="B73" s="518"/>
      <c r="C73" s="94"/>
      <c r="D73" s="745" t="s">
        <v>769</v>
      </c>
      <c r="E73" s="746"/>
      <c r="F73" s="746"/>
      <c r="G73" s="746"/>
      <c r="H73" s="746"/>
      <c r="I73" s="746"/>
      <c r="J73" s="746"/>
      <c r="K73" s="746"/>
      <c r="L73" s="746"/>
      <c r="M73" s="746"/>
      <c r="N73" s="746"/>
      <c r="O73" s="746"/>
      <c r="P73" s="746"/>
      <c r="Q73" s="746"/>
      <c r="R73" s="746"/>
      <c r="S73" s="746"/>
      <c r="T73" s="747"/>
      <c r="U73" s="747"/>
      <c r="V73" s="748"/>
      <c r="X73" s="94"/>
      <c r="Y73" s="94"/>
      <c r="Z73" s="94"/>
      <c r="AA73" s="345"/>
    </row>
    <row r="74" spans="2:27">
      <c r="B74" s="518"/>
      <c r="C74" s="94"/>
      <c r="D74" s="94"/>
      <c r="E74" s="94"/>
      <c r="G74" s="92"/>
      <c r="H74" s="792"/>
      <c r="O74" s="92"/>
      <c r="P74" s="792"/>
      <c r="R74" s="94"/>
      <c r="S74" s="94"/>
      <c r="T74" s="94"/>
      <c r="U74" s="94"/>
      <c r="V74" s="94"/>
      <c r="W74" s="94"/>
      <c r="X74" s="94"/>
      <c r="Y74" s="94"/>
      <c r="Z74" s="94"/>
      <c r="AA74" s="345"/>
    </row>
    <row r="75" spans="2:27" ht="15">
      <c r="B75" s="518"/>
      <c r="C75" s="94"/>
      <c r="D75" s="94"/>
      <c r="E75" s="94"/>
      <c r="F75" s="528"/>
      <c r="G75" s="806"/>
      <c r="H75" s="792"/>
      <c r="O75" s="92"/>
      <c r="P75" s="792"/>
      <c r="R75" s="94"/>
      <c r="S75" s="94"/>
      <c r="T75" s="94"/>
      <c r="U75" s="94"/>
      <c r="V75" s="94"/>
      <c r="W75" s="94"/>
      <c r="X75" s="94"/>
      <c r="Y75" s="94"/>
      <c r="Z75" s="94"/>
      <c r="AA75" s="345"/>
    </row>
    <row r="76" spans="2:27" ht="15">
      <c r="B76" s="518"/>
      <c r="C76" s="94"/>
      <c r="D76" s="94"/>
      <c r="E76" s="94"/>
      <c r="F76" s="528" t="s">
        <v>764</v>
      </c>
      <c r="G76" s="806"/>
      <c r="H76" s="792"/>
      <c r="L76" s="796" t="s">
        <v>765</v>
      </c>
      <c r="O76" s="92"/>
      <c r="P76" s="792"/>
      <c r="R76" s="94"/>
      <c r="S76" s="94"/>
      <c r="T76" s="94"/>
      <c r="U76" s="94"/>
      <c r="V76" s="94"/>
      <c r="W76" s="94"/>
      <c r="X76" s="94"/>
      <c r="Y76" s="94"/>
      <c r="Z76" s="94"/>
      <c r="AA76" s="345"/>
    </row>
    <row r="77" spans="2:27" ht="15">
      <c r="B77" s="518"/>
      <c r="C77" s="94"/>
      <c r="D77" s="94"/>
      <c r="E77" s="94"/>
      <c r="F77" s="528"/>
      <c r="G77" s="806"/>
      <c r="H77" s="792"/>
      <c r="O77" s="92"/>
      <c r="P77" s="792"/>
      <c r="R77" s="94"/>
      <c r="S77" s="94"/>
      <c r="T77" s="94"/>
      <c r="U77" s="94"/>
      <c r="V77" s="94"/>
      <c r="W77" s="94"/>
      <c r="X77" s="94"/>
      <c r="Y77" s="94"/>
      <c r="Z77" s="94"/>
      <c r="AA77" s="345"/>
    </row>
    <row r="78" spans="2:27" ht="15">
      <c r="B78" s="518"/>
      <c r="C78" s="94"/>
      <c r="D78" s="94"/>
      <c r="E78" s="94"/>
      <c r="F78" s="528"/>
      <c r="G78" s="528"/>
      <c r="H78" s="806"/>
      <c r="I78" s="792"/>
      <c r="K78" s="809" t="s">
        <v>766</v>
      </c>
      <c r="L78" s="796" t="s">
        <v>767</v>
      </c>
      <c r="O78" s="92"/>
      <c r="P78" s="792"/>
      <c r="R78" s="94"/>
      <c r="S78" s="94"/>
      <c r="T78" s="94"/>
      <c r="U78" s="94"/>
      <c r="V78" s="94"/>
      <c r="W78" s="94"/>
      <c r="X78" s="94"/>
      <c r="Y78" s="94"/>
      <c r="Z78" s="94"/>
      <c r="AA78" s="345"/>
    </row>
    <row r="79" spans="2:27" ht="15">
      <c r="B79" s="518"/>
      <c r="C79" s="94"/>
      <c r="D79" s="94"/>
      <c r="E79" s="94"/>
      <c r="F79" s="528"/>
      <c r="G79" s="806"/>
      <c r="H79" s="792"/>
      <c r="O79" s="92"/>
      <c r="P79" s="792"/>
      <c r="R79" s="94"/>
      <c r="S79" s="94"/>
      <c r="T79" s="94"/>
      <c r="U79" s="94"/>
      <c r="V79" s="94"/>
      <c r="W79" s="94"/>
      <c r="X79" s="94"/>
      <c r="Y79" s="94"/>
      <c r="Z79" s="94"/>
      <c r="AA79" s="345"/>
    </row>
    <row r="80" spans="2:27">
      <c r="B80" s="518"/>
      <c r="C80" s="94"/>
      <c r="D80" s="94"/>
      <c r="E80" s="94"/>
      <c r="O80" s="92"/>
      <c r="P80" s="792"/>
      <c r="R80" s="94"/>
      <c r="S80" s="94"/>
      <c r="T80" s="94"/>
      <c r="U80" s="94"/>
      <c r="V80" s="94"/>
      <c r="W80" s="94"/>
      <c r="X80" s="94"/>
      <c r="Y80" s="94"/>
      <c r="Z80" s="94"/>
      <c r="AA80" s="345"/>
    </row>
    <row r="81" spans="2:27">
      <c r="B81" s="518"/>
      <c r="C81" s="94"/>
      <c r="D81" s="94"/>
      <c r="E81" s="94"/>
      <c r="P81" s="792"/>
      <c r="R81" s="94"/>
      <c r="S81" s="94"/>
      <c r="T81" s="94"/>
      <c r="U81" s="94"/>
      <c r="V81" s="94"/>
      <c r="W81" s="94"/>
      <c r="X81" s="94"/>
      <c r="Y81" s="94"/>
      <c r="Z81" s="94"/>
      <c r="AA81" s="345"/>
    </row>
    <row r="82" spans="2:27">
      <c r="B82" s="518"/>
      <c r="C82" s="94"/>
      <c r="D82" s="94"/>
      <c r="E82" s="94"/>
      <c r="P82" s="792"/>
      <c r="R82" s="94"/>
      <c r="S82" s="94"/>
      <c r="T82" s="94"/>
      <c r="U82" s="94"/>
      <c r="V82" s="94"/>
      <c r="W82" s="94"/>
      <c r="X82" s="94"/>
      <c r="Y82" s="94"/>
      <c r="Z82" s="94"/>
      <c r="AA82" s="345"/>
    </row>
    <row r="83" spans="2:27">
      <c r="B83" s="518"/>
      <c r="C83" s="94"/>
      <c r="D83" s="94"/>
      <c r="E83" s="94"/>
      <c r="P83" s="792"/>
      <c r="R83" s="94"/>
      <c r="S83" s="94"/>
      <c r="T83" s="94"/>
      <c r="U83" s="94"/>
      <c r="V83" s="94"/>
      <c r="W83" s="94"/>
      <c r="X83" s="94"/>
      <c r="Y83" s="94"/>
      <c r="Z83" s="94"/>
      <c r="AA83" s="345"/>
    </row>
    <row r="84" spans="2:27" ht="15">
      <c r="B84" s="518"/>
      <c r="C84" s="94"/>
      <c r="D84" s="94"/>
      <c r="E84" s="94"/>
      <c r="F84" s="528" t="s">
        <v>771</v>
      </c>
      <c r="G84" s="806"/>
      <c r="H84" s="792"/>
      <c r="O84" s="92"/>
      <c r="P84" s="792"/>
      <c r="R84" s="94"/>
      <c r="S84" s="94"/>
      <c r="T84" s="94"/>
      <c r="U84" s="94"/>
      <c r="V84" s="94"/>
      <c r="W84" s="94"/>
      <c r="X84" s="94"/>
      <c r="Y84" s="94"/>
      <c r="Z84" s="94"/>
      <c r="AA84" s="345"/>
    </row>
    <row r="85" spans="2:27" ht="15">
      <c r="B85" s="518"/>
      <c r="C85" s="94"/>
      <c r="D85" s="94"/>
      <c r="E85" s="94"/>
      <c r="F85" s="528" t="s">
        <v>768</v>
      </c>
      <c r="G85" s="806"/>
      <c r="H85" s="792"/>
      <c r="I85" s="796"/>
      <c r="J85" s="813">
        <v>5</v>
      </c>
      <c r="O85" s="92"/>
      <c r="P85" s="792"/>
      <c r="R85" s="94"/>
      <c r="S85" s="94"/>
      <c r="T85" s="94"/>
      <c r="U85" s="94"/>
      <c r="V85" s="94"/>
      <c r="W85" s="94"/>
      <c r="X85" s="94"/>
      <c r="Y85" s="94"/>
      <c r="Z85" s="94"/>
      <c r="AA85" s="345"/>
    </row>
    <row r="86" spans="2:27" ht="15">
      <c r="B86" s="518"/>
      <c r="C86" s="94"/>
      <c r="D86" s="94"/>
      <c r="E86" s="94"/>
      <c r="F86" s="528"/>
      <c r="G86" s="806"/>
      <c r="H86" s="792"/>
      <c r="O86" s="92"/>
      <c r="P86" s="792"/>
      <c r="R86" s="94"/>
      <c r="S86" s="94"/>
      <c r="T86" s="94"/>
      <c r="U86" s="94"/>
      <c r="V86" s="94"/>
      <c r="W86" s="94"/>
      <c r="X86" s="94"/>
      <c r="Y86" s="94"/>
      <c r="Z86" s="94"/>
      <c r="AA86" s="345"/>
    </row>
    <row r="87" spans="2:27" ht="15">
      <c r="B87" s="518"/>
      <c r="C87" s="94"/>
      <c r="D87" s="94"/>
      <c r="E87" s="94"/>
      <c r="F87" s="528"/>
      <c r="G87" s="528"/>
      <c r="I87" s="809" t="s">
        <v>772</v>
      </c>
      <c r="J87" s="812">
        <v>43</v>
      </c>
      <c r="O87" s="92"/>
      <c r="P87" s="792"/>
      <c r="R87" s="94"/>
      <c r="S87" s="94"/>
      <c r="T87" s="94"/>
      <c r="U87" s="94"/>
      <c r="V87" s="94"/>
      <c r="W87" s="94"/>
      <c r="X87" s="94"/>
      <c r="Y87" s="94"/>
      <c r="Z87" s="94"/>
      <c r="AA87" s="345"/>
    </row>
    <row r="88" spans="2:27" ht="15">
      <c r="B88" s="518"/>
      <c r="C88" s="94"/>
      <c r="D88" s="94"/>
      <c r="E88" s="94"/>
      <c r="F88" s="528"/>
      <c r="G88" s="806"/>
      <c r="H88" s="792"/>
      <c r="O88" s="92"/>
      <c r="P88" s="792"/>
      <c r="R88" s="94"/>
      <c r="S88" s="94"/>
      <c r="T88" s="94"/>
      <c r="U88" s="94"/>
      <c r="V88" s="94"/>
      <c r="W88" s="94"/>
      <c r="X88" s="94"/>
      <c r="Y88" s="94"/>
      <c r="Z88" s="94"/>
      <c r="AA88" s="345"/>
    </row>
    <row r="89" spans="2:27" ht="15">
      <c r="B89" s="518"/>
      <c r="C89" s="94"/>
      <c r="D89" s="94"/>
      <c r="E89" s="94"/>
      <c r="F89" s="528"/>
      <c r="G89" s="806"/>
      <c r="H89" s="792"/>
      <c r="O89" s="92"/>
      <c r="P89" s="792"/>
      <c r="R89" s="94"/>
      <c r="S89" s="94"/>
      <c r="T89" s="94"/>
      <c r="U89" s="94"/>
      <c r="V89" s="94"/>
      <c r="W89" s="94"/>
      <c r="X89" s="94"/>
      <c r="Y89" s="94"/>
      <c r="Z89" s="94"/>
      <c r="AA89" s="345"/>
    </row>
    <row r="90" spans="2:27" ht="15">
      <c r="B90" s="518"/>
      <c r="C90" s="94"/>
      <c r="D90" s="94"/>
      <c r="E90" s="94"/>
      <c r="F90" s="528"/>
      <c r="G90" s="806"/>
      <c r="H90" s="792"/>
      <c r="O90" s="92"/>
      <c r="P90" s="792"/>
      <c r="R90" s="94"/>
      <c r="S90" s="94"/>
      <c r="T90" s="94"/>
      <c r="U90" s="94"/>
      <c r="V90" s="94"/>
      <c r="W90" s="94"/>
      <c r="X90" s="94"/>
      <c r="Y90" s="94"/>
      <c r="Z90" s="94"/>
      <c r="AA90" s="345"/>
    </row>
    <row r="91" spans="2:27" ht="15">
      <c r="B91" s="518"/>
      <c r="C91" s="94"/>
      <c r="D91" s="94"/>
      <c r="E91" s="94"/>
      <c r="F91" s="528"/>
      <c r="G91" s="806"/>
      <c r="H91" s="792"/>
      <c r="O91" s="92"/>
      <c r="P91" s="792"/>
      <c r="R91" s="94"/>
      <c r="S91" s="94"/>
      <c r="T91" s="94"/>
      <c r="U91" s="94"/>
      <c r="V91" s="94"/>
      <c r="W91" s="94"/>
      <c r="X91" s="94"/>
      <c r="Y91" s="94"/>
      <c r="Z91" s="94"/>
      <c r="AA91" s="345"/>
    </row>
    <row r="92" spans="2:27" ht="15">
      <c r="B92" s="518"/>
      <c r="C92" s="94"/>
      <c r="D92" s="94"/>
      <c r="E92" s="94"/>
      <c r="F92" s="528"/>
      <c r="G92" s="806"/>
      <c r="H92" s="792"/>
      <c r="O92" s="92"/>
      <c r="P92" s="792"/>
      <c r="R92" s="94"/>
      <c r="S92" s="94"/>
      <c r="T92" s="94"/>
      <c r="U92" s="94"/>
      <c r="V92" s="94"/>
      <c r="W92" s="94"/>
      <c r="X92" s="94"/>
      <c r="Y92" s="94"/>
      <c r="Z92" s="94"/>
      <c r="AA92" s="345"/>
    </row>
    <row r="93" spans="2:27" ht="15">
      <c r="B93" s="518"/>
      <c r="C93" s="94"/>
      <c r="D93" s="94"/>
      <c r="E93" s="94"/>
      <c r="F93" s="528"/>
      <c r="G93" s="806"/>
      <c r="H93" s="792"/>
      <c r="O93" s="92"/>
      <c r="P93" s="792"/>
      <c r="R93" s="94"/>
      <c r="S93" s="94"/>
      <c r="T93" s="94"/>
      <c r="U93" s="94"/>
      <c r="V93" s="94"/>
      <c r="W93" s="94"/>
      <c r="X93" s="94"/>
      <c r="Y93" s="94"/>
      <c r="Z93" s="94"/>
      <c r="AA93" s="345"/>
    </row>
    <row r="94" spans="2:27" ht="15.75">
      <c r="B94" s="518"/>
      <c r="C94" s="94"/>
      <c r="D94" s="810" t="s">
        <v>770</v>
      </c>
      <c r="E94" s="745"/>
      <c r="F94" s="746"/>
      <c r="G94" s="746"/>
      <c r="H94" s="746"/>
      <c r="I94" s="746"/>
      <c r="J94" s="746"/>
      <c r="K94" s="746"/>
      <c r="L94" s="746"/>
      <c r="M94" s="746"/>
      <c r="N94" s="746"/>
      <c r="O94" s="746"/>
      <c r="P94" s="746"/>
      <c r="Q94" s="746"/>
      <c r="R94" s="746"/>
      <c r="S94" s="746"/>
      <c r="T94" s="747"/>
      <c r="U94" s="747"/>
      <c r="V94" s="748"/>
      <c r="W94" s="94"/>
      <c r="X94" s="94"/>
      <c r="Y94" s="94"/>
      <c r="Z94" s="94"/>
      <c r="AA94" s="345"/>
    </row>
    <row r="95" spans="2:27">
      <c r="B95" s="518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345"/>
    </row>
    <row r="96" spans="2:27">
      <c r="B96" s="518"/>
      <c r="C96" s="94"/>
      <c r="D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345"/>
    </row>
    <row r="97" spans="2:31">
      <c r="B97" s="518"/>
      <c r="C97" s="94"/>
      <c r="D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345"/>
    </row>
    <row r="98" spans="2:31">
      <c r="B98" s="518"/>
      <c r="C98" s="94"/>
      <c r="D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345"/>
    </row>
    <row r="99" spans="2:31">
      <c r="B99" s="518"/>
      <c r="C99" s="94"/>
      <c r="D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345"/>
    </row>
    <row r="100" spans="2:31">
      <c r="B100" s="518"/>
      <c r="C100" s="94"/>
      <c r="D100" s="94"/>
      <c r="G100" s="94"/>
      <c r="I100" s="796" t="s">
        <v>241</v>
      </c>
      <c r="J100" s="696">
        <v>314</v>
      </c>
      <c r="K100" s="788">
        <f>J100-273.15</f>
        <v>40.850000000000023</v>
      </c>
      <c r="Q100" s="796" t="s">
        <v>241</v>
      </c>
      <c r="R100" s="696">
        <v>294.5</v>
      </c>
      <c r="S100" s="788">
        <f>R100-273.15</f>
        <v>21.350000000000023</v>
      </c>
      <c r="T100" s="94"/>
      <c r="U100" s="94"/>
      <c r="V100" s="94"/>
      <c r="W100" s="94"/>
      <c r="X100" s="94"/>
      <c r="Y100" s="94"/>
      <c r="Z100" s="94"/>
      <c r="AA100" s="345"/>
    </row>
    <row r="101" spans="2:31">
      <c r="B101" s="518"/>
      <c r="C101" s="94"/>
      <c r="D101" s="333"/>
      <c r="G101" s="94"/>
      <c r="H101" s="333"/>
      <c r="I101" s="796" t="s">
        <v>240</v>
      </c>
      <c r="J101" s="804">
        <v>10.5</v>
      </c>
      <c r="Q101" s="796" t="s">
        <v>240</v>
      </c>
      <c r="R101" s="808">
        <v>10.45</v>
      </c>
      <c r="T101" s="94"/>
      <c r="U101" s="94"/>
      <c r="V101" s="94"/>
      <c r="W101" s="94"/>
      <c r="X101" s="94"/>
      <c r="Y101" s="94"/>
      <c r="Z101" s="94"/>
      <c r="AA101" s="345"/>
      <c r="AE101" s="91">
        <f>J102*J103*(ABS(R100-J100))</f>
        <v>5467.415509032935</v>
      </c>
    </row>
    <row r="102" spans="2:31">
      <c r="B102" s="518"/>
      <c r="C102" s="94"/>
      <c r="G102" s="94"/>
      <c r="I102" s="796" t="s">
        <v>759</v>
      </c>
      <c r="J102" s="805">
        <v>54</v>
      </c>
      <c r="K102" s="797" t="e">
        <f ca="1">J102/Rho(11,J101,J100)*60</f>
        <v>#NAME?</v>
      </c>
      <c r="Q102" s="796" t="s">
        <v>759</v>
      </c>
      <c r="R102" s="790">
        <f>J102</f>
        <v>54</v>
      </c>
      <c r="S102" s="791" t="e">
        <f ca="1">R102/Rho(11,R101,R100)*60</f>
        <v>#NAME?</v>
      </c>
      <c r="T102" s="94"/>
      <c r="U102" s="94"/>
      <c r="V102" s="94"/>
      <c r="W102" s="94"/>
      <c r="X102" s="94"/>
      <c r="Y102" s="94"/>
      <c r="Z102" s="94"/>
      <c r="AA102" s="345"/>
    </row>
    <row r="103" spans="2:31">
      <c r="B103" s="518"/>
      <c r="C103" s="94"/>
      <c r="G103" s="94"/>
      <c r="I103" s="796" t="s">
        <v>146</v>
      </c>
      <c r="J103" s="792">
        <f>[9]!cp_(11,J101,J100)</f>
        <v>5.1922274539723974</v>
      </c>
      <c r="Q103" s="796" t="s">
        <v>146</v>
      </c>
      <c r="R103" s="792">
        <f>[9]!cp_(11,R101,R100)</f>
        <v>5.1923056063783077</v>
      </c>
      <c r="T103" s="94"/>
      <c r="U103" s="94"/>
      <c r="V103" s="94"/>
      <c r="W103" s="94"/>
      <c r="X103" s="94"/>
      <c r="Y103" s="94"/>
      <c r="Z103" s="94"/>
      <c r="AA103" s="345"/>
    </row>
    <row r="104" spans="2:31">
      <c r="B104" s="518"/>
      <c r="C104" s="94"/>
      <c r="G104" s="94"/>
      <c r="I104" s="92"/>
      <c r="J104" s="792"/>
      <c r="T104" s="94"/>
      <c r="U104" s="94"/>
      <c r="V104" s="94"/>
      <c r="W104" s="94"/>
      <c r="X104" s="94"/>
      <c r="Y104" s="94"/>
      <c r="Z104" s="94"/>
      <c r="AA104" s="345"/>
    </row>
    <row r="105" spans="2:31">
      <c r="B105" s="518"/>
      <c r="C105" s="94"/>
      <c r="G105" s="94"/>
      <c r="I105" s="92"/>
      <c r="Q105" s="92"/>
      <c r="T105" s="94"/>
      <c r="U105" s="94"/>
      <c r="V105" s="94"/>
      <c r="W105" s="94"/>
      <c r="X105" s="94"/>
      <c r="Y105" s="94"/>
      <c r="Z105" s="94"/>
      <c r="AA105" s="345"/>
    </row>
    <row r="106" spans="2:31">
      <c r="B106" s="518"/>
      <c r="C106" s="94"/>
      <c r="G106" s="94"/>
      <c r="I106" s="796" t="s">
        <v>241</v>
      </c>
      <c r="J106" s="787">
        <f>K106+273.15</f>
        <v>290.92064975119911</v>
      </c>
      <c r="K106" s="803">
        <v>17.770649751199148</v>
      </c>
      <c r="Q106" s="96" t="s">
        <v>241</v>
      </c>
      <c r="R106" s="787">
        <f>S106+273.15</f>
        <v>288.14999999999998</v>
      </c>
      <c r="S106" s="803">
        <v>15</v>
      </c>
      <c r="T106" s="94"/>
      <c r="U106" s="94"/>
      <c r="V106" s="94"/>
      <c r="W106" s="94"/>
      <c r="X106" s="94"/>
      <c r="Y106" s="94"/>
      <c r="Z106" s="94"/>
      <c r="AA106" s="345"/>
    </row>
    <row r="107" spans="2:31">
      <c r="B107" s="518"/>
      <c r="C107" s="94"/>
      <c r="D107" s="333"/>
      <c r="G107" s="94"/>
      <c r="H107" s="333"/>
      <c r="I107" s="796" t="s">
        <v>240</v>
      </c>
      <c r="J107" s="789">
        <v>3</v>
      </c>
      <c r="Q107" s="96" t="s">
        <v>240</v>
      </c>
      <c r="R107" s="789">
        <v>3</v>
      </c>
      <c r="T107" s="94"/>
      <c r="U107" s="94"/>
      <c r="V107" s="94"/>
      <c r="W107" s="94"/>
      <c r="X107" s="94"/>
      <c r="Y107" s="94"/>
      <c r="Z107" s="94"/>
      <c r="AA107" s="345"/>
    </row>
    <row r="108" spans="2:31">
      <c r="B108" s="518"/>
      <c r="C108" s="94"/>
      <c r="G108" s="94"/>
      <c r="I108" s="796" t="s">
        <v>746</v>
      </c>
      <c r="J108" s="790">
        <f>K108/60*1000</f>
        <v>521.57144024672846</v>
      </c>
      <c r="K108" s="794">
        <f>S108</f>
        <v>31.294286414803704</v>
      </c>
      <c r="Q108" s="96" t="s">
        <v>746</v>
      </c>
      <c r="R108" s="790">
        <f>S108/60*1000</f>
        <v>521.57144024672846</v>
      </c>
      <c r="S108" s="807">
        <f>J87-S116</f>
        <v>31.294286414803704</v>
      </c>
      <c r="T108" s="814">
        <f>S108*60/1000</f>
        <v>1.8776571848882222</v>
      </c>
      <c r="U108" s="94"/>
      <c r="V108" s="94"/>
      <c r="W108" s="94"/>
      <c r="X108" s="94"/>
      <c r="Y108" s="94"/>
      <c r="Z108" s="94"/>
      <c r="AA108" s="345"/>
      <c r="AE108" s="91">
        <f>J108*J109*(ABS(R106-J106))</f>
        <v>5346.83959026303</v>
      </c>
    </row>
    <row r="109" spans="2:31">
      <c r="B109" s="518"/>
      <c r="C109" s="94"/>
      <c r="D109" s="94"/>
      <c r="G109" s="94"/>
      <c r="I109" s="796" t="s">
        <v>146</v>
      </c>
      <c r="J109" s="792">
        <v>3.7</v>
      </c>
      <c r="Q109" s="96" t="s">
        <v>146</v>
      </c>
      <c r="R109" s="792">
        <v>3.7</v>
      </c>
      <c r="T109" s="94"/>
      <c r="U109" s="94"/>
      <c r="V109" s="94"/>
      <c r="W109" s="94"/>
      <c r="X109" s="94"/>
      <c r="Y109" s="94"/>
      <c r="Z109" s="94"/>
      <c r="AA109" s="345"/>
    </row>
    <row r="110" spans="2:31">
      <c r="B110" s="518"/>
      <c r="C110" s="94"/>
      <c r="D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345"/>
      <c r="AE110" s="91">
        <f>AE101-AE108</f>
        <v>120.575918769905</v>
      </c>
    </row>
    <row r="111" spans="2:31">
      <c r="B111" s="518"/>
      <c r="C111" s="94"/>
      <c r="D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345"/>
    </row>
    <row r="112" spans="2:31">
      <c r="B112" s="518"/>
      <c r="C112" s="94"/>
      <c r="D112" s="94"/>
      <c r="G112" s="94"/>
      <c r="I112" s="92"/>
      <c r="J112" s="792"/>
      <c r="T112" s="94"/>
      <c r="U112" s="94"/>
      <c r="V112" s="94"/>
      <c r="W112" s="94"/>
      <c r="X112" s="94"/>
      <c r="Y112" s="94"/>
      <c r="Z112" s="94"/>
      <c r="AA112" s="345"/>
    </row>
    <row r="113" spans="1:31">
      <c r="B113" s="518"/>
      <c r="C113" s="94"/>
      <c r="D113" s="94"/>
      <c r="G113" s="94"/>
      <c r="I113" s="92"/>
      <c r="Q113" s="92"/>
      <c r="T113" s="94"/>
      <c r="U113" s="94"/>
      <c r="V113" s="94"/>
      <c r="W113" s="94"/>
      <c r="X113" s="94"/>
      <c r="Y113" s="94"/>
      <c r="Z113" s="94"/>
      <c r="AA113" s="345"/>
    </row>
    <row r="114" spans="1:31">
      <c r="B114" s="518"/>
      <c r="C114" s="94"/>
      <c r="D114" s="94"/>
      <c r="G114" s="94"/>
      <c r="I114" s="796" t="s">
        <v>241</v>
      </c>
      <c r="J114" s="787">
        <f>K114+273.15</f>
        <v>290.92064975119911</v>
      </c>
      <c r="K114" s="697">
        <f>K106</f>
        <v>17.770649751199148</v>
      </c>
      <c r="Q114" s="96" t="s">
        <v>241</v>
      </c>
      <c r="R114" s="787">
        <f>S114+273.15</f>
        <v>288.14999999999998</v>
      </c>
      <c r="S114" s="803">
        <v>15</v>
      </c>
      <c r="T114" s="94"/>
      <c r="U114" s="94"/>
      <c r="V114" s="94"/>
      <c r="W114" s="94"/>
      <c r="X114" s="94"/>
      <c r="Y114" s="94"/>
      <c r="Z114" s="94"/>
      <c r="AA114" s="345"/>
    </row>
    <row r="115" spans="1:31">
      <c r="B115" s="518"/>
      <c r="C115" s="94"/>
      <c r="D115" s="94"/>
      <c r="G115" s="94"/>
      <c r="H115" s="333"/>
      <c r="I115" s="796" t="s">
        <v>240</v>
      </c>
      <c r="J115" s="789">
        <v>3</v>
      </c>
      <c r="Q115" s="96" t="s">
        <v>240</v>
      </c>
      <c r="R115" s="789">
        <v>3</v>
      </c>
      <c r="T115" s="94"/>
      <c r="U115" s="94"/>
      <c r="V115" s="94"/>
      <c r="W115" s="94"/>
      <c r="X115" s="94"/>
      <c r="Y115" s="94"/>
      <c r="Z115" s="94"/>
      <c r="AA115" s="345"/>
    </row>
    <row r="116" spans="1:31">
      <c r="B116" s="518"/>
      <c r="C116" s="94"/>
      <c r="D116" s="94"/>
      <c r="E116" s="94"/>
      <c r="G116" s="92"/>
      <c r="I116" s="796" t="s">
        <v>746</v>
      </c>
      <c r="J116" s="790">
        <f>K116/60*1000</f>
        <v>195.09522641993826</v>
      </c>
      <c r="K116" s="794">
        <f>S116</f>
        <v>11.705713585196296</v>
      </c>
      <c r="Q116" s="96" t="s">
        <v>746</v>
      </c>
      <c r="R116" s="790">
        <f>S116/60*1000</f>
        <v>195.09522641993826</v>
      </c>
      <c r="S116" s="807">
        <v>11.705713585196296</v>
      </c>
      <c r="T116" s="814">
        <f>S116*60/1000</f>
        <v>0.70234281511177776</v>
      </c>
      <c r="U116" s="94"/>
      <c r="V116" s="94"/>
      <c r="W116" s="94"/>
      <c r="X116" s="94"/>
      <c r="Y116" s="94"/>
      <c r="Z116" s="94"/>
      <c r="AA116" s="345"/>
      <c r="AE116" s="91">
        <f>J116*J117*(ABS(R114-J114))</f>
        <v>1999.9999999999977</v>
      </c>
    </row>
    <row r="117" spans="1:31">
      <c r="B117" s="518"/>
      <c r="C117" s="94"/>
      <c r="D117" s="94"/>
      <c r="E117" s="94"/>
      <c r="G117" s="92"/>
      <c r="I117" s="796" t="s">
        <v>146</v>
      </c>
      <c r="J117" s="792">
        <v>3.7</v>
      </c>
      <c r="Q117" s="96" t="s">
        <v>146</v>
      </c>
      <c r="R117" s="792">
        <v>3.7</v>
      </c>
      <c r="T117" s="94"/>
      <c r="U117" s="94"/>
      <c r="V117" s="94"/>
      <c r="W117" s="94"/>
      <c r="X117" s="94"/>
      <c r="Y117" s="94"/>
      <c r="Z117" s="94"/>
      <c r="AA117" s="345"/>
    </row>
    <row r="118" spans="1:31">
      <c r="B118" s="518"/>
      <c r="C118" s="94"/>
      <c r="D118" s="94"/>
      <c r="E118" s="94"/>
      <c r="G118" s="92"/>
      <c r="I118" s="92"/>
      <c r="J118" s="792"/>
      <c r="Q118" s="795"/>
      <c r="T118" s="94"/>
      <c r="U118" s="94"/>
      <c r="V118" s="94"/>
      <c r="W118" s="94"/>
      <c r="X118" s="94"/>
      <c r="Y118" s="94"/>
      <c r="Z118" s="94"/>
      <c r="AA118" s="345"/>
      <c r="AE118" s="91">
        <v>2000</v>
      </c>
    </row>
    <row r="119" spans="1:31">
      <c r="B119" s="518"/>
      <c r="C119" s="94"/>
      <c r="D119" s="94"/>
      <c r="E119" s="94"/>
      <c r="G119" s="92"/>
      <c r="H119" s="792"/>
      <c r="O119" s="92"/>
      <c r="P119" s="792"/>
      <c r="R119" s="94"/>
      <c r="S119" s="94"/>
      <c r="T119" s="94"/>
      <c r="U119" s="94"/>
      <c r="V119" s="94"/>
      <c r="W119" s="94"/>
      <c r="X119" s="94"/>
      <c r="Y119" s="94"/>
      <c r="Z119" s="94"/>
      <c r="AA119" s="345"/>
      <c r="AE119" s="91">
        <f>AE116-AE118</f>
        <v>-2.2737367544323206E-12</v>
      </c>
    </row>
    <row r="120" spans="1:31">
      <c r="B120" s="518"/>
      <c r="C120" s="94"/>
      <c r="S120" s="811"/>
      <c r="T120" s="187"/>
      <c r="U120" s="187"/>
      <c r="V120" s="94"/>
      <c r="W120" s="94"/>
      <c r="X120" s="94"/>
      <c r="Y120" s="94"/>
      <c r="Z120" s="94"/>
      <c r="AA120" s="345"/>
    </row>
    <row r="121" spans="1:31" ht="13.5" thickBot="1">
      <c r="B121" s="520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521"/>
    </row>
    <row r="122" spans="1:31" ht="15" customHeight="1">
      <c r="A122" s="432"/>
      <c r="B122" s="1252" t="s">
        <v>663</v>
      </c>
      <c r="C122" s="1253"/>
      <c r="D122" s="1253"/>
      <c r="E122" s="1253"/>
      <c r="F122" s="1251"/>
      <c r="G122" s="1250" t="s">
        <v>664</v>
      </c>
      <c r="H122" s="1251"/>
      <c r="I122" s="1250" t="s">
        <v>665</v>
      </c>
      <c r="J122" s="1251"/>
      <c r="K122" s="771" t="s">
        <v>774</v>
      </c>
      <c r="L122" s="771"/>
      <c r="M122" s="771"/>
      <c r="N122" s="771"/>
      <c r="O122" s="771"/>
      <c r="P122" s="770"/>
      <c r="Q122" s="767"/>
      <c r="R122" s="770"/>
      <c r="S122" s="770"/>
      <c r="T122" s="770"/>
      <c r="U122" s="771"/>
      <c r="V122" s="771"/>
      <c r="W122" s="771"/>
      <c r="X122" s="772"/>
      <c r="Y122" s="771"/>
      <c r="Z122" s="771" t="s">
        <v>667</v>
      </c>
      <c r="AA122" s="774"/>
    </row>
    <row r="123" spans="1:31" ht="15" customHeight="1">
      <c r="B123" s="1242" t="s">
        <v>773</v>
      </c>
      <c r="C123" s="1243"/>
      <c r="D123" s="1243"/>
      <c r="E123" s="1243"/>
      <c r="F123" s="1244"/>
      <c r="G123" s="1245" t="s">
        <v>668</v>
      </c>
      <c r="H123" s="1246"/>
      <c r="I123" s="1245" t="s">
        <v>775</v>
      </c>
      <c r="J123" s="1246"/>
      <c r="K123" s="780"/>
      <c r="L123" s="780"/>
      <c r="M123" s="780"/>
      <c r="N123" s="780"/>
      <c r="O123" s="780"/>
      <c r="P123" s="779"/>
      <c r="Q123" s="779"/>
      <c r="R123" s="779"/>
      <c r="S123" s="779"/>
      <c r="T123" s="779"/>
      <c r="U123" s="780"/>
      <c r="V123" s="780"/>
      <c r="W123" s="780"/>
      <c r="X123" s="781"/>
      <c r="Y123" s="1233" t="s">
        <v>669</v>
      </c>
      <c r="Z123" s="1234"/>
      <c r="AA123" s="1235"/>
    </row>
    <row r="124" spans="1:31" ht="15" customHeight="1">
      <c r="B124" s="816"/>
      <c r="C124" s="777"/>
      <c r="D124" s="777"/>
      <c r="E124" s="777"/>
      <c r="F124" s="817"/>
      <c r="G124" s="818"/>
      <c r="H124" s="815"/>
      <c r="I124" s="818"/>
      <c r="J124" s="815"/>
      <c r="K124" s="780"/>
      <c r="L124" s="780"/>
      <c r="M124" s="780"/>
      <c r="N124" s="780"/>
      <c r="O124" s="780"/>
      <c r="P124" s="779"/>
      <c r="Q124" s="779"/>
      <c r="R124" s="779"/>
      <c r="S124" s="779"/>
      <c r="T124" s="779"/>
      <c r="U124" s="780"/>
      <c r="V124" s="780"/>
      <c r="W124" s="780"/>
      <c r="X124" s="781"/>
      <c r="Y124" s="1236"/>
      <c r="Z124" s="1237"/>
      <c r="AA124" s="1238"/>
    </row>
    <row r="125" spans="1:31" ht="15" customHeight="1">
      <c r="B125" s="1242"/>
      <c r="C125" s="1243"/>
      <c r="D125" s="1243"/>
      <c r="E125" s="1243"/>
      <c r="F125" s="1244"/>
      <c r="G125" s="1245"/>
      <c r="H125" s="1246"/>
      <c r="I125" s="1245"/>
      <c r="J125" s="1246"/>
      <c r="K125" s="780"/>
      <c r="L125" s="780"/>
      <c r="M125" s="780"/>
      <c r="N125" s="780"/>
      <c r="O125" s="780"/>
      <c r="P125" s="779"/>
      <c r="Q125" s="779"/>
      <c r="R125" s="779"/>
      <c r="S125" s="779"/>
      <c r="T125" s="779"/>
      <c r="U125" s="780"/>
      <c r="V125" s="780"/>
      <c r="W125" s="780"/>
      <c r="X125" s="781"/>
      <c r="Y125" s="1236"/>
      <c r="Z125" s="1237"/>
      <c r="AA125" s="1238"/>
    </row>
    <row r="126" spans="1:31" ht="15" customHeight="1" thickBot="1">
      <c r="B126" s="520"/>
      <c r="C126" s="231"/>
      <c r="D126" s="231"/>
      <c r="E126" s="231"/>
      <c r="F126" s="785"/>
      <c r="G126" s="786"/>
      <c r="H126" s="785"/>
      <c r="I126" s="231"/>
      <c r="J126" s="785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785"/>
      <c r="Y126" s="1239"/>
      <c r="Z126" s="1240"/>
      <c r="AA126" s="1241"/>
    </row>
  </sheetData>
  <protectedRanges>
    <protectedRange sqref="M2:M3 U7:X7 T8:Z8 B6 W3 X3:X5" name="Titre_1"/>
  </protectedRanges>
  <mergeCells count="11">
    <mergeCell ref="B6:V6"/>
    <mergeCell ref="G122:H122"/>
    <mergeCell ref="I122:J122"/>
    <mergeCell ref="B122:F122"/>
    <mergeCell ref="Y123:AA126"/>
    <mergeCell ref="B123:F123"/>
    <mergeCell ref="I123:J123"/>
    <mergeCell ref="G123:H123"/>
    <mergeCell ref="B125:F125"/>
    <mergeCell ref="G125:H125"/>
    <mergeCell ref="I125:J125"/>
  </mergeCells>
  <phoneticPr fontId="12" type="noConversion"/>
  <pageMargins left="0.42" right="0.42" top="0.54" bottom="0.5" header="0.4921259845" footer="0.4921259845"/>
  <pageSetup paperSize="9" scale="47" orientation="portrait" r:id="rId1"/>
  <headerFooter alignWithMargins="0"/>
  <colBreaks count="1" manualBreakCount="1">
    <brk id="28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Feuil24"/>
  <dimension ref="B2:U49"/>
  <sheetViews>
    <sheetView topLeftCell="C10" zoomScale="70" workbookViewId="0">
      <selection activeCell="V16" sqref="V16"/>
    </sheetView>
  </sheetViews>
  <sheetFormatPr defaultColWidth="11.42578125" defaultRowHeight="12.75"/>
  <cols>
    <col min="1" max="1" width="11.42578125" customWidth="1"/>
    <col min="2" max="2" width="14.140625" customWidth="1"/>
    <col min="3" max="3" width="12.5703125" bestFit="1" customWidth="1"/>
    <col min="4" max="11" width="11.42578125" customWidth="1"/>
    <col min="12" max="12" width="10" bestFit="1" customWidth="1"/>
    <col min="13" max="13" width="13.28515625" bestFit="1" customWidth="1"/>
    <col min="14" max="18" width="11.42578125" customWidth="1"/>
    <col min="19" max="19" width="3.85546875" bestFit="1" customWidth="1"/>
    <col min="20" max="20" width="19.28515625" bestFit="1" customWidth="1"/>
    <col min="21" max="21" width="13.28515625" bestFit="1" customWidth="1"/>
    <col min="22" max="22" width="3.85546875" bestFit="1" customWidth="1"/>
    <col min="23" max="23" width="11.140625" bestFit="1" customWidth="1"/>
  </cols>
  <sheetData>
    <row r="2" spans="2:13">
      <c r="B2" s="136" t="s">
        <v>21</v>
      </c>
      <c r="H2" s="136" t="s">
        <v>177</v>
      </c>
    </row>
    <row r="3" spans="2:13" ht="13.5" thickBot="1"/>
    <row r="4" spans="2:13">
      <c r="B4" s="675" t="s">
        <v>731</v>
      </c>
      <c r="C4" s="659"/>
      <c r="D4" s="659"/>
      <c r="E4" s="659"/>
      <c r="F4" s="660"/>
      <c r="G4" s="675"/>
      <c r="H4" s="659" t="s">
        <v>731</v>
      </c>
      <c r="I4" s="659"/>
      <c r="J4" s="659"/>
      <c r="K4" s="660"/>
    </row>
    <row r="5" spans="2:13">
      <c r="B5" s="676"/>
      <c r="C5" s="677">
        <v>10.5</v>
      </c>
      <c r="D5" s="14" t="s">
        <v>732</v>
      </c>
      <c r="E5" s="14"/>
      <c r="F5" s="21"/>
      <c r="G5" s="676"/>
      <c r="H5" s="14"/>
      <c r="I5" s="14">
        <v>3</v>
      </c>
      <c r="J5" s="14" t="s">
        <v>732</v>
      </c>
      <c r="K5" s="21"/>
    </row>
    <row r="6" spans="2:13">
      <c r="B6" s="676"/>
      <c r="C6" s="498">
        <v>314</v>
      </c>
      <c r="D6" s="14" t="s">
        <v>96</v>
      </c>
      <c r="E6" s="14">
        <f>C6-273.15</f>
        <v>40.850000000000023</v>
      </c>
      <c r="F6" s="21" t="s">
        <v>303</v>
      </c>
      <c r="G6" s="676"/>
      <c r="H6" s="14"/>
      <c r="I6" s="498">
        <v>15</v>
      </c>
      <c r="J6" s="14" t="s">
        <v>303</v>
      </c>
      <c r="K6" s="21"/>
      <c r="M6" t="s">
        <v>733</v>
      </c>
    </row>
    <row r="7" spans="2:13" ht="13.5" thickBot="1">
      <c r="B7" s="678"/>
      <c r="C7" s="46">
        <v>54</v>
      </c>
      <c r="D7" s="46" t="s">
        <v>86</v>
      </c>
      <c r="E7" s="46"/>
      <c r="F7" s="47"/>
      <c r="G7" s="678"/>
      <c r="H7" s="46"/>
      <c r="I7" s="46">
        <v>2000</v>
      </c>
      <c r="J7" s="46" t="s">
        <v>424</v>
      </c>
      <c r="K7" s="47"/>
    </row>
    <row r="8" spans="2:13">
      <c r="B8" s="675"/>
      <c r="C8" s="659"/>
      <c r="D8" s="659"/>
      <c r="E8" s="679">
        <f>C7*5.2*(C6-C11)</f>
        <v>5500.0000009999922</v>
      </c>
      <c r="F8" s="680" t="s">
        <v>226</v>
      </c>
      <c r="G8" s="681">
        <f>I7*1000/3600*(I11-I6)*4.184</f>
        <v>5500.0000000000027</v>
      </c>
      <c r="H8" s="682"/>
      <c r="I8" s="683">
        <f>I7/60</f>
        <v>33.333333333333336</v>
      </c>
      <c r="J8" s="682" t="s">
        <v>734</v>
      </c>
      <c r="K8" s="684"/>
    </row>
    <row r="9" spans="2:13">
      <c r="B9" s="676" t="s">
        <v>735</v>
      </c>
      <c r="C9" s="14"/>
      <c r="D9" s="14"/>
      <c r="E9" s="14"/>
      <c r="F9" s="21"/>
      <c r="G9" s="685"/>
      <c r="H9" s="15" t="s">
        <v>735</v>
      </c>
      <c r="I9" s="15"/>
      <c r="J9" s="15"/>
      <c r="K9" s="686"/>
    </row>
    <row r="10" spans="2:13">
      <c r="B10" s="676"/>
      <c r="C10" s="677">
        <v>10.45</v>
      </c>
      <c r="D10" s="14" t="s">
        <v>732</v>
      </c>
      <c r="E10" s="14"/>
      <c r="F10" s="21"/>
      <c r="G10" s="685"/>
      <c r="H10" s="15"/>
      <c r="I10" s="15">
        <v>2.9</v>
      </c>
      <c r="J10" s="15" t="s">
        <v>732</v>
      </c>
      <c r="K10" s="686"/>
    </row>
    <row r="11" spans="2:13" ht="13.5" thickBot="1">
      <c r="B11" s="678"/>
      <c r="C11" s="687">
        <v>294.41310540954419</v>
      </c>
      <c r="D11" s="46" t="s">
        <v>96</v>
      </c>
      <c r="E11" s="688">
        <f>C11-273.15</f>
        <v>21.26310540954421</v>
      </c>
      <c r="F11" s="47" t="s">
        <v>303</v>
      </c>
      <c r="G11" s="689"/>
      <c r="H11" s="690"/>
      <c r="I11" s="691">
        <v>17.366156787762907</v>
      </c>
      <c r="J11" s="690" t="s">
        <v>303</v>
      </c>
      <c r="K11" s="692"/>
    </row>
    <row r="13" spans="2:13">
      <c r="B13" t="s">
        <v>736</v>
      </c>
      <c r="E13">
        <v>2000</v>
      </c>
      <c r="F13" t="s">
        <v>226</v>
      </c>
    </row>
    <row r="14" spans="2:13">
      <c r="B14" t="s">
        <v>737</v>
      </c>
      <c r="E14">
        <v>7500</v>
      </c>
      <c r="F14" t="s">
        <v>226</v>
      </c>
      <c r="G14">
        <f>E14-E13</f>
        <v>5500</v>
      </c>
    </row>
    <row r="15" spans="2:13">
      <c r="B15" t="s">
        <v>738</v>
      </c>
      <c r="G15" s="17">
        <v>500</v>
      </c>
      <c r="H15" t="s">
        <v>424</v>
      </c>
    </row>
    <row r="16" spans="2:13">
      <c r="B16" t="s">
        <v>739</v>
      </c>
      <c r="E16">
        <v>43</v>
      </c>
      <c r="F16" t="s">
        <v>734</v>
      </c>
      <c r="G16" s="17">
        <f>E16*60</f>
        <v>2580</v>
      </c>
      <c r="H16" t="s">
        <v>424</v>
      </c>
    </row>
    <row r="18" spans="2:21">
      <c r="D18">
        <f>I6</f>
        <v>15</v>
      </c>
      <c r="J18">
        <f>I11</f>
        <v>17.366156787762907</v>
      </c>
    </row>
    <row r="20" spans="2:21">
      <c r="D20">
        <f>E11</f>
        <v>21.26310540954421</v>
      </c>
      <c r="J20">
        <f>E6</f>
        <v>40.850000000000023</v>
      </c>
    </row>
    <row r="25" spans="2:21">
      <c r="F25" t="s">
        <v>740</v>
      </c>
      <c r="G25" s="114">
        <f>ABS(((D18-D20)-(J18-J20))/LN((D18-D20)/(J18-J20)))</f>
        <v>13.02985914754143</v>
      </c>
      <c r="H25" t="s">
        <v>96</v>
      </c>
    </row>
    <row r="26" spans="2:21" ht="13.5" thickBot="1">
      <c r="F26" t="s">
        <v>741</v>
      </c>
      <c r="G26" s="114">
        <f>E8/G25</f>
        <v>422.1074025990352</v>
      </c>
      <c r="H26" t="s">
        <v>742</v>
      </c>
    </row>
    <row r="27" spans="2:21" ht="13.5" thickBot="1">
      <c r="B27" s="693" t="s">
        <v>743</v>
      </c>
      <c r="C27" s="694">
        <f>C11-3.7</f>
        <v>290.7131054095442</v>
      </c>
    </row>
    <row r="28" spans="2:21" ht="13.5" thickBot="1"/>
    <row r="29" spans="2:21" ht="13.5" thickBot="1">
      <c r="B29" s="693" t="s">
        <v>744</v>
      </c>
      <c r="C29" s="695">
        <f>298/C27*51.8</f>
        <v>53.09839739854128</v>
      </c>
    </row>
    <row r="30" spans="2:21">
      <c r="R30" t="s">
        <v>520</v>
      </c>
      <c r="T30" s="703">
        <v>1000</v>
      </c>
    </row>
    <row r="32" spans="2:21">
      <c r="K32" t="s">
        <v>241</v>
      </c>
      <c r="L32" s="696">
        <f>273.15+M32</f>
        <v>311.14999999999998</v>
      </c>
      <c r="M32" s="697">
        <v>38</v>
      </c>
      <c r="S32" t="s">
        <v>241</v>
      </c>
      <c r="T32" s="696">
        <v>298</v>
      </c>
      <c r="U32" s="697">
        <f>T32-273.15</f>
        <v>24.850000000000023</v>
      </c>
    </row>
    <row r="33" spans="10:21">
      <c r="J33" s="698" t="s">
        <v>745</v>
      </c>
      <c r="K33" t="s">
        <v>240</v>
      </c>
      <c r="L33" s="699">
        <v>10.5</v>
      </c>
      <c r="S33" t="s">
        <v>240</v>
      </c>
      <c r="T33" s="699">
        <v>10.5</v>
      </c>
    </row>
    <row r="34" spans="10:21">
      <c r="K34" t="s">
        <v>746</v>
      </c>
      <c r="L34" s="871">
        <v>26.19</v>
      </c>
      <c r="M34" s="704" t="e">
        <f ca="1">L34/Rho(11,L33,L32)*60</f>
        <v>#NAME?</v>
      </c>
      <c r="S34" t="s">
        <v>746</v>
      </c>
      <c r="T34" s="700">
        <f>L34</f>
        <v>26.19</v>
      </c>
      <c r="U34" s="704" t="e">
        <f ca="1">T34/Rho(11,T33,T32)*60</f>
        <v>#NAME?</v>
      </c>
    </row>
    <row r="35" spans="10:21">
      <c r="K35" t="s">
        <v>146</v>
      </c>
      <c r="L35" s="702">
        <f>[9]!cp_(11,L33,L32)</f>
        <v>5.1922365098684704</v>
      </c>
      <c r="S35" t="s">
        <v>146</v>
      </c>
      <c r="T35" s="702">
        <f>[9]!cp_(11,T33,T32)</f>
        <v>5.1922863286708516</v>
      </c>
    </row>
    <row r="36" spans="10:21">
      <c r="L36" s="702"/>
      <c r="S36" s="136" t="s">
        <v>240</v>
      </c>
      <c r="T36" s="703">
        <f>L34*L35*(T32-L32)-1000</f>
        <v>-2788.1984656439336</v>
      </c>
    </row>
    <row r="38" spans="10:21">
      <c r="K38" t="s">
        <v>241</v>
      </c>
      <c r="L38" s="696">
        <f>273.15+M38</f>
        <v>295.35999999999996</v>
      </c>
      <c r="M38" s="697">
        <v>22.21</v>
      </c>
      <c r="S38" t="s">
        <v>241</v>
      </c>
      <c r="T38" s="696">
        <f>U38+273.15</f>
        <v>293.14999999999998</v>
      </c>
      <c r="U38" s="697">
        <v>20</v>
      </c>
    </row>
    <row r="39" spans="10:21">
      <c r="J39" s="698" t="s">
        <v>747</v>
      </c>
      <c r="K39" t="s">
        <v>240</v>
      </c>
      <c r="L39" s="699">
        <v>4</v>
      </c>
      <c r="S39" t="s">
        <v>240</v>
      </c>
      <c r="T39" s="699">
        <v>4</v>
      </c>
    </row>
    <row r="40" spans="10:21">
      <c r="K40" t="s">
        <v>746</v>
      </c>
      <c r="L40" s="700">
        <f>M40*17.333</f>
        <v>-340.98061216142327</v>
      </c>
      <c r="M40" s="701">
        <v>-19.672336708095731</v>
      </c>
      <c r="S40" t="s">
        <v>746</v>
      </c>
      <c r="T40" s="700"/>
      <c r="U40" s="701"/>
    </row>
    <row r="41" spans="10:21">
      <c r="K41" t="s">
        <v>146</v>
      </c>
      <c r="L41" s="702">
        <v>3.7</v>
      </c>
      <c r="S41" t="s">
        <v>146</v>
      </c>
      <c r="T41" s="702">
        <v>3.7</v>
      </c>
    </row>
    <row r="42" spans="10:21">
      <c r="S42" s="136" t="s">
        <v>240</v>
      </c>
      <c r="T42" s="703">
        <f>L40*L41*(T38-L38)</f>
        <v>2788.1984656439322</v>
      </c>
    </row>
    <row r="45" spans="10:21">
      <c r="T45" s="872"/>
    </row>
    <row r="49" spans="12:20">
      <c r="L49" t="s">
        <v>820</v>
      </c>
      <c r="N49">
        <v>1040</v>
      </c>
      <c r="O49" t="s">
        <v>82</v>
      </c>
      <c r="T49" s="873">
        <f>T42+T36</f>
        <v>0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C10:S85"/>
  <sheetViews>
    <sheetView topLeftCell="A19" zoomScale="115" workbookViewId="0">
      <selection activeCell="K77" sqref="K77"/>
    </sheetView>
  </sheetViews>
  <sheetFormatPr defaultRowHeight="12.75"/>
  <cols>
    <col min="1" max="3" width="9.140625" style="91"/>
    <col min="4" max="4" width="20.5703125" style="432" customWidth="1"/>
    <col min="5" max="5" width="11.42578125" style="432" customWidth="1"/>
    <col min="6" max="6" width="16.85546875" style="91" customWidth="1"/>
    <col min="7" max="7" width="15" style="91" customWidth="1"/>
    <col min="8" max="8" width="16.85546875" style="91" customWidth="1"/>
    <col min="9" max="9" width="9.5703125" style="91" bestFit="1" customWidth="1"/>
    <col min="10" max="16384" width="9.140625" style="91"/>
  </cols>
  <sheetData>
    <row r="10" spans="6:19">
      <c r="G10" s="332" t="s">
        <v>966</v>
      </c>
      <c r="H10" s="332" t="s">
        <v>967</v>
      </c>
      <c r="I10" s="332" t="s">
        <v>968</v>
      </c>
      <c r="J10" s="332" t="s">
        <v>969</v>
      </c>
      <c r="K10" s="332" t="s">
        <v>970</v>
      </c>
      <c r="S10" s="1143"/>
    </row>
    <row r="11" spans="6:19">
      <c r="F11" s="95" t="s">
        <v>971</v>
      </c>
      <c r="G11" s="1150">
        <v>235.5</v>
      </c>
      <c r="H11" s="96">
        <v>235.1</v>
      </c>
      <c r="I11" s="96">
        <v>230.5</v>
      </c>
      <c r="J11" s="96">
        <v>231</v>
      </c>
      <c r="K11" s="1149">
        <v>226</v>
      </c>
      <c r="S11" s="1144"/>
    </row>
    <row r="12" spans="6:19">
      <c r="F12" s="95" t="s">
        <v>972</v>
      </c>
      <c r="G12" s="96">
        <v>66.66</v>
      </c>
      <c r="H12" s="96">
        <v>66.31</v>
      </c>
      <c r="I12" s="96">
        <v>64.739999999999995</v>
      </c>
      <c r="J12" s="96">
        <v>64.63</v>
      </c>
      <c r="K12" s="96">
        <v>62.73</v>
      </c>
      <c r="M12" s="95" t="s">
        <v>977</v>
      </c>
      <c r="N12" s="96">
        <f>[9]!Rho_(11,1.22,[9]!T_sat(11,1.22))</f>
        <v>20.542632934933899</v>
      </c>
      <c r="S12" s="1146"/>
    </row>
    <row r="13" spans="6:19">
      <c r="F13" s="95"/>
      <c r="G13" s="96"/>
      <c r="H13" s="96"/>
      <c r="I13" s="96"/>
      <c r="J13" s="96"/>
      <c r="K13" s="96"/>
      <c r="M13" s="95" t="s">
        <v>978</v>
      </c>
      <c r="N13" s="96">
        <f>[9]!Rho_(11,1.22,[9]!T_sat(11,1.22)-0.001)</f>
        <v>120.70953226290538</v>
      </c>
      <c r="S13" s="1147"/>
    </row>
    <row r="14" spans="6:19">
      <c r="F14" s="95" t="s">
        <v>973</v>
      </c>
      <c r="G14" s="96">
        <v>0.37</v>
      </c>
      <c r="H14" s="1149">
        <v>0.35899999999999999</v>
      </c>
      <c r="I14" s="96">
        <v>0.38</v>
      </c>
      <c r="J14" s="1148">
        <v>0.39</v>
      </c>
      <c r="K14" s="96">
        <v>0.4</v>
      </c>
      <c r="M14" s="91" t="s">
        <v>979</v>
      </c>
      <c r="N14" s="91">
        <f>N12/N13</f>
        <v>0.17018235883966512</v>
      </c>
      <c r="S14" s="1145"/>
    </row>
    <row r="15" spans="6:19">
      <c r="F15" s="95" t="s">
        <v>974</v>
      </c>
      <c r="G15" s="96">
        <v>540.79999999999995</v>
      </c>
      <c r="H15" s="96">
        <v>540.70000000000005</v>
      </c>
      <c r="I15" s="96">
        <v>539.5</v>
      </c>
      <c r="J15" s="96">
        <v>538.29999999999995</v>
      </c>
      <c r="K15" s="96">
        <v>533.9</v>
      </c>
    </row>
    <row r="16" spans="6:19">
      <c r="F16" s="95" t="s">
        <v>975</v>
      </c>
      <c r="G16" s="1141">
        <f>(G15-0.74)*(1-G14)</f>
        <v>340.23779999999999</v>
      </c>
      <c r="H16" s="1141">
        <f>(H15-0.74)*(1-H14)</f>
        <v>346.11436000000003</v>
      </c>
      <c r="I16" s="1141">
        <f>(I15-0.74)*(1-I14)</f>
        <v>334.03120000000001</v>
      </c>
      <c r="J16" s="1141">
        <f>(J15-0.74)*(1-J14)</f>
        <v>327.91159999999996</v>
      </c>
      <c r="K16" s="1141">
        <f>(540.8-0.74)*(1-K14)</f>
        <v>324.03599999999994</v>
      </c>
    </row>
    <row r="17" spans="3:12">
      <c r="F17" s="95" t="s">
        <v>976</v>
      </c>
      <c r="G17" s="1142">
        <f>G16*(1-$N$14)</f>
        <v>282.3353286295818</v>
      </c>
      <c r="H17" s="1149">
        <f>H16*(1-$N$14)</f>
        <v>287.21180178691895</v>
      </c>
      <c r="I17" s="1142">
        <f>I16*(1-$N$14)</f>
        <v>277.18498245795604</v>
      </c>
      <c r="J17" s="1141">
        <f>J16*(1-$N$14)</f>
        <v>272.10683042111123</v>
      </c>
      <c r="K17" s="1148">
        <f>K16*(1-$N$14)</f>
        <v>268.89078917103024</v>
      </c>
    </row>
    <row r="18" spans="3:12">
      <c r="H18" s="96"/>
      <c r="I18" s="96"/>
      <c r="J18" s="96"/>
      <c r="K18" s="96"/>
    </row>
    <row r="23" spans="3:12">
      <c r="C23" s="89" t="s">
        <v>435</v>
      </c>
      <c r="D23" s="1151"/>
      <c r="E23" s="1151"/>
      <c r="F23" s="89"/>
      <c r="G23" s="89"/>
      <c r="H23" s="89"/>
      <c r="I23" s="89"/>
      <c r="J23" s="89"/>
      <c r="K23" s="89"/>
    </row>
    <row r="24" spans="3:12">
      <c r="C24" s="92"/>
      <c r="F24" s="92"/>
      <c r="G24" s="92"/>
      <c r="H24" s="92"/>
      <c r="I24" s="92"/>
      <c r="J24" s="92"/>
      <c r="K24" s="92"/>
    </row>
    <row r="25" spans="3:12">
      <c r="C25" s="92"/>
      <c r="F25" s="92"/>
      <c r="G25" s="92"/>
      <c r="H25" s="92"/>
      <c r="I25" s="92"/>
      <c r="J25" s="92"/>
      <c r="K25" s="92"/>
      <c r="L25" s="92"/>
    </row>
    <row r="26" spans="3:12">
      <c r="C26" s="133" t="s">
        <v>244</v>
      </c>
      <c r="D26" s="220"/>
      <c r="E26" s="1155"/>
      <c r="F26" s="167" t="s">
        <v>21</v>
      </c>
      <c r="G26" s="167" t="s">
        <v>168</v>
      </c>
      <c r="H26" s="167" t="s">
        <v>163</v>
      </c>
      <c r="I26" s="92"/>
      <c r="J26" s="92"/>
      <c r="K26" s="92"/>
      <c r="L26" s="92"/>
    </row>
    <row r="27" spans="3:12">
      <c r="C27" s="133" t="s">
        <v>243</v>
      </c>
      <c r="D27" s="220"/>
      <c r="E27" s="1155"/>
      <c r="F27" s="88">
        <f>IF(F26&lt;&gt;"",VLOOKUP(F26,Fluides!$C$2:$H$38,6,FALSE),0)</f>
        <v>11</v>
      </c>
      <c r="G27" s="88">
        <f>IF(G26&lt;&gt;"",VLOOKUP(G26,Fluides!$C$2:$H$38,6,FALSE),0)</f>
        <v>21</v>
      </c>
      <c r="H27" s="88">
        <f>IF(H26&lt;&gt;"",VLOOKUP(H26,Fluides!$C$2:$H$38,6,FALSE),0)</f>
        <v>18</v>
      </c>
      <c r="I27" s="92"/>
      <c r="J27" s="92"/>
      <c r="K27" s="92"/>
      <c r="L27" s="92"/>
    </row>
    <row r="28" spans="3:12">
      <c r="C28" s="850" t="s">
        <v>86</v>
      </c>
      <c r="D28" s="1153"/>
      <c r="E28" s="1154"/>
      <c r="F28" s="851">
        <f>IF($C$32="Nm3/h",44.6153*F32*F45/3600,F32)</f>
        <v>1</v>
      </c>
      <c r="G28" s="851">
        <f>IF($C$32="Nm3/h",44.6153*G32*G45/3600,G32)</f>
        <v>1</v>
      </c>
      <c r="H28" s="851">
        <f>IF($C$32="Nm3/h",44.6153*H32*H45/3600,H32)</f>
        <v>1</v>
      </c>
      <c r="I28" s="92"/>
      <c r="J28" s="92"/>
      <c r="K28" s="92"/>
      <c r="L28" s="92"/>
    </row>
    <row r="29" spans="3:12">
      <c r="C29" s="850" t="s">
        <v>806</v>
      </c>
      <c r="D29" s="1153"/>
      <c r="E29" s="1154"/>
      <c r="F29" s="851">
        <f>F28*3.6</f>
        <v>3.6</v>
      </c>
      <c r="G29" s="851">
        <f>G28*3.6</f>
        <v>3.6</v>
      </c>
      <c r="H29" s="851">
        <f>H28*3.6</f>
        <v>3.6</v>
      </c>
      <c r="I29" s="92"/>
      <c r="J29" s="92"/>
      <c r="K29" s="92"/>
      <c r="L29" s="92"/>
    </row>
    <row r="30" spans="3:12">
      <c r="C30" s="850" t="s">
        <v>803</v>
      </c>
      <c r="D30" s="1153"/>
      <c r="E30" s="1154"/>
      <c r="F30" s="852">
        <f>IF($C$32="g/s",F32*3.6/F43,F32)</f>
        <v>22.156371785839529</v>
      </c>
      <c r="G30" s="852">
        <f>IF($C$32="g/s",G32*3.6/G43,G32)</f>
        <v>3.1636362889912801</v>
      </c>
      <c r="H30" s="852">
        <f>IF($C$32="g/s",H32*3.6/H43,H32)</f>
        <v>5.5161418019892796</v>
      </c>
      <c r="I30" s="92"/>
      <c r="J30" s="92"/>
      <c r="K30" s="92"/>
      <c r="L30" s="92"/>
    </row>
    <row r="31" spans="3:12">
      <c r="C31" s="850" t="s">
        <v>424</v>
      </c>
      <c r="D31" s="1153"/>
      <c r="E31" s="1154"/>
      <c r="F31" s="851">
        <f>F28*3.6/F41*1000</f>
        <v>28.267691697940947</v>
      </c>
      <c r="G31" s="851">
        <f>G28*3.6/G41*1000</f>
        <v>4.449901462337845</v>
      </c>
      <c r="H31" s="851">
        <f>H28*3.6/H41*1000</f>
        <v>8.5164931684470169</v>
      </c>
      <c r="I31" s="92"/>
      <c r="J31" s="92"/>
      <c r="K31" s="92"/>
      <c r="L31" s="92"/>
    </row>
    <row r="32" spans="3:12">
      <c r="C32" s="832" t="s">
        <v>86</v>
      </c>
      <c r="D32" s="1156"/>
      <c r="E32" s="1155"/>
      <c r="F32" s="1157">
        <v>1</v>
      </c>
      <c r="G32" s="1157">
        <v>1</v>
      </c>
      <c r="H32" s="1157">
        <v>1</v>
      </c>
      <c r="I32" s="92"/>
      <c r="J32" s="92"/>
      <c r="K32" s="92"/>
    </row>
    <row r="33" spans="3:15">
      <c r="C33" s="134" t="s">
        <v>271</v>
      </c>
      <c r="D33" s="1155" t="s">
        <v>982</v>
      </c>
      <c r="E33" s="1155" t="s">
        <v>96</v>
      </c>
      <c r="F33" s="1159">
        <f>[9]!T_sat(F27,1.013)</f>
        <v>4.2218391015419625</v>
      </c>
      <c r="G33" s="1159">
        <f>[9]!T_sat(G27,1.013)</f>
        <v>77.360568386037315</v>
      </c>
      <c r="H33" s="1159">
        <f>[9]!T_sat(H27,1.013)</f>
        <v>111.62881592944862</v>
      </c>
      <c r="I33" s="92"/>
    </row>
    <row r="34" spans="3:15">
      <c r="C34" s="134" t="s">
        <v>271</v>
      </c>
      <c r="D34" s="1155"/>
      <c r="E34" s="1155" t="s">
        <v>303</v>
      </c>
      <c r="F34" s="1158">
        <f>F33-273.15</f>
        <v>-268.92816089845803</v>
      </c>
      <c r="G34" s="1158">
        <f>G33-273.15</f>
        <v>-195.78943161396268</v>
      </c>
      <c r="H34" s="1158">
        <f>H33-273.15</f>
        <v>-161.52118407055136</v>
      </c>
      <c r="I34" s="92"/>
    </row>
    <row r="35" spans="3:15">
      <c r="C35" s="134"/>
      <c r="D35" s="1155" t="s">
        <v>983</v>
      </c>
      <c r="E35" s="1155" t="s">
        <v>96</v>
      </c>
      <c r="F35" s="1159">
        <f>[9]!FConstant(F27,9)</f>
        <v>2.1768000000000001</v>
      </c>
      <c r="G35" s="1159">
        <f>[9]!FConstant(G27,9)</f>
        <v>63.15</v>
      </c>
      <c r="H35" s="1159">
        <f>[9]!FConstant(H27,9)</f>
        <v>90.68</v>
      </c>
      <c r="I35" s="92"/>
    </row>
    <row r="36" spans="3:15">
      <c r="C36" s="134"/>
      <c r="D36" s="1155" t="s">
        <v>983</v>
      </c>
      <c r="E36" s="1155" t="s">
        <v>84</v>
      </c>
      <c r="F36" s="1160">
        <f>[9]!FConstant(F27,8)</f>
        <v>5.0418000000000003</v>
      </c>
      <c r="G36" s="1160">
        <f>[9]!FConstant(G27,8)</f>
        <v>12.46298</v>
      </c>
      <c r="H36" s="1160">
        <f>[9]!FConstant(H27,8)</f>
        <v>11.743</v>
      </c>
      <c r="I36" s="92"/>
    </row>
    <row r="37" spans="3:15">
      <c r="C37" s="134"/>
      <c r="D37" s="1155" t="s">
        <v>984</v>
      </c>
      <c r="E37" s="1155" t="s">
        <v>84</v>
      </c>
      <c r="F37" s="1161">
        <f>[9]!FConstant(F27,5)*10^-5</f>
        <v>2.2750000000000001E-3</v>
      </c>
      <c r="G37" s="1161">
        <f>[9]!FConstant(G27,5)*10^-5</f>
        <v>3.3991E-2</v>
      </c>
      <c r="H37" s="1161">
        <f>[9]!FConstant(H27,5)*10^-5</f>
        <v>4.5980000000000007E-2</v>
      </c>
      <c r="I37" s="92"/>
    </row>
    <row r="38" spans="3:15">
      <c r="C38" s="134"/>
      <c r="D38" s="1155" t="s">
        <v>985</v>
      </c>
      <c r="E38" s="1155" t="s">
        <v>96</v>
      </c>
      <c r="F38" s="1152">
        <f>[9]!FConstant(F27,6)</f>
        <v>5.1952999999999996</v>
      </c>
      <c r="G38" s="1152">
        <f>[9]!FConstant(G27,6)</f>
        <v>126.26</v>
      </c>
      <c r="H38" s="1152">
        <f>[9]!FConstant(H27,6)</f>
        <v>190.55500000000001</v>
      </c>
      <c r="I38" s="92"/>
    </row>
    <row r="39" spans="3:15">
      <c r="C39" s="134" t="s">
        <v>240</v>
      </c>
      <c r="D39" s="1155"/>
      <c r="E39" s="1155" t="s">
        <v>84</v>
      </c>
      <c r="F39" s="1161">
        <v>1</v>
      </c>
      <c r="G39" s="1161">
        <v>0.5</v>
      </c>
      <c r="H39" s="1161">
        <v>0.5</v>
      </c>
      <c r="I39" s="92"/>
      <c r="J39" s="92"/>
      <c r="K39" s="92"/>
    </row>
    <row r="40" spans="3:15">
      <c r="C40" s="134" t="s">
        <v>241</v>
      </c>
      <c r="D40" s="1155"/>
      <c r="E40" s="1155" t="s">
        <v>96</v>
      </c>
      <c r="F40" s="1152">
        <v>80</v>
      </c>
      <c r="G40" s="1152">
        <v>80</v>
      </c>
      <c r="H40" s="1152">
        <v>80</v>
      </c>
      <c r="I40" s="92"/>
      <c r="J40" s="92"/>
      <c r="K40" s="92"/>
      <c r="L40" s="92"/>
    </row>
    <row r="41" spans="3:15">
      <c r="C41" s="134" t="s">
        <v>978</v>
      </c>
      <c r="D41" s="1155"/>
      <c r="E41" s="1155" t="s">
        <v>82</v>
      </c>
      <c r="F41" s="1162">
        <f>[9]!Rho_(F27,1.013,F33-0.1)</f>
        <v>127.35387234544619</v>
      </c>
      <c r="G41" s="1162">
        <f>[9]!Rho_(G27,1.013,G33-0.1)</f>
        <v>809.00667811836615</v>
      </c>
      <c r="H41" s="1162">
        <f>[9]!Rho_(H27,1.013,H33-0.1)</f>
        <v>422.7091983514689</v>
      </c>
      <c r="I41" s="92"/>
      <c r="J41" s="92"/>
      <c r="K41" s="92"/>
      <c r="L41" s="92"/>
    </row>
    <row r="42" spans="3:15">
      <c r="C42" s="134" t="s">
        <v>980</v>
      </c>
      <c r="D42" s="1155"/>
      <c r="E42" s="1155" t="s">
        <v>82</v>
      </c>
      <c r="F42" s="1162">
        <f>[9]!Rho_(F27,[9]!P_sat(F27,F33),F33+0.1)</f>
        <v>15.87850908727285</v>
      </c>
      <c r="G42" s="1162">
        <f>[9]!Rho_(G27,[9]!P_sat(G27,G33),G33+0.1)</f>
        <v>4.603587973891905</v>
      </c>
      <c r="H42" s="1162">
        <f>[9]!Rho_(H27,[9]!P_sat(H27,H33),H33+0.1)</f>
        <v>1.8151667364197639</v>
      </c>
      <c r="I42" s="92"/>
      <c r="J42" s="92"/>
      <c r="K42" s="92"/>
    </row>
    <row r="43" spans="3:15">
      <c r="C43" s="134" t="s">
        <v>981</v>
      </c>
      <c r="D43" s="1155"/>
      <c r="E43" s="1155" t="s">
        <v>805</v>
      </c>
      <c r="F43" s="1163">
        <f>[9]!Rho_(F27,1.013,300)</f>
        <v>0.16248147642570315</v>
      </c>
      <c r="G43" s="1163">
        <f>[9]!Rho_(G27,1.013,300)</f>
        <v>1.1379310613319125</v>
      </c>
      <c r="H43" s="1163">
        <f>[9]!Rho_(H27,1.013,300)</f>
        <v>0.65263006812147872</v>
      </c>
      <c r="I43" s="92"/>
      <c r="J43" s="92"/>
      <c r="K43" s="92"/>
    </row>
    <row r="44" spans="3:15">
      <c r="C44" s="134"/>
      <c r="D44" s="1155"/>
      <c r="E44" s="1155"/>
      <c r="F44" s="135">
        <f>F41/F43</f>
        <v>783.80548445890361</v>
      </c>
      <c r="G44" s="135">
        <f>G41/G43</f>
        <v>710.94524581431961</v>
      </c>
      <c r="H44" s="135">
        <f>H41/H43</f>
        <v>647.70107753108766</v>
      </c>
      <c r="I44" s="92"/>
      <c r="J44" s="92"/>
      <c r="K44" s="92"/>
    </row>
    <row r="45" spans="3:15">
      <c r="C45" s="134" t="s">
        <v>227</v>
      </c>
      <c r="D45" s="1155"/>
      <c r="E45" s="1155"/>
      <c r="F45" s="135">
        <f>[9]!FConstant(F27,12)</f>
        <v>4.0026000000000002</v>
      </c>
      <c r="G45" s="135">
        <f>[9]!FConstant(G27,12)</f>
        <v>28.013400000000001</v>
      </c>
      <c r="H45" s="135">
        <f>[9]!FConstant(H27,12)</f>
        <v>16.042000000000002</v>
      </c>
      <c r="I45" s="92"/>
      <c r="J45" s="92"/>
      <c r="K45" s="92"/>
      <c r="O45" s="95"/>
    </row>
    <row r="46" spans="3:15">
      <c r="C46" s="134" t="s">
        <v>246</v>
      </c>
      <c r="D46" s="1155"/>
      <c r="E46" s="1155" t="s">
        <v>251</v>
      </c>
      <c r="F46" s="1164">
        <f>[9]!H_(F27,F39,F40)</f>
        <v>430.96715804238534</v>
      </c>
      <c r="G46" s="1164">
        <f>[9]!H_(G27,G39,G40)</f>
        <v>81.861059829213218</v>
      </c>
      <c r="H46" s="1164">
        <f>[9]!H_(H27,H39,H40)</f>
        <v>0</v>
      </c>
      <c r="I46" s="92"/>
      <c r="J46" s="92"/>
      <c r="K46" s="92"/>
    </row>
    <row r="47" spans="3:15">
      <c r="C47" s="134" t="s">
        <v>247</v>
      </c>
      <c r="D47" s="1155"/>
      <c r="E47" s="1155" t="s">
        <v>251</v>
      </c>
      <c r="F47" s="1164">
        <f>[9]!U_(F27,F39,F40)</f>
        <v>264.49240184769923</v>
      </c>
      <c r="G47" s="1164">
        <f>[9]!U_(G27,G39,G40)</f>
        <v>58.563017065472543</v>
      </c>
      <c r="H47" s="1164">
        <f>[9]!U_(H27,H39,H40)</f>
        <v>0</v>
      </c>
      <c r="I47" s="92"/>
      <c r="J47" s="92"/>
      <c r="K47" s="92"/>
    </row>
    <row r="48" spans="3:15">
      <c r="C48" s="134" t="s">
        <v>248</v>
      </c>
      <c r="D48" s="1155"/>
      <c r="E48" s="1155" t="s">
        <v>251</v>
      </c>
      <c r="F48" s="1164">
        <f>[9]!S_(F27,F39,F40)</f>
        <v>24.747007430267843</v>
      </c>
      <c r="G48" s="1164">
        <f>[9]!S_(G27,G39,G40)</f>
        <v>5.668405092453483</v>
      </c>
      <c r="H48" s="1164">
        <f>[9]!S_(H27,H39,H40)</f>
        <v>0</v>
      </c>
      <c r="I48" s="92"/>
    </row>
    <row r="49" spans="3:12">
      <c r="C49" s="134" t="s">
        <v>245</v>
      </c>
      <c r="D49" s="1155"/>
      <c r="E49" s="1155" t="s">
        <v>251</v>
      </c>
      <c r="F49" s="1164" t="e">
        <f ca="1">Hvap_(F27,F39,F33)</f>
        <v>#NAME?</v>
      </c>
      <c r="G49" s="1164" t="e">
        <f ca="1">Hvap_(G27,G39,G33)</f>
        <v>#NAME?</v>
      </c>
      <c r="H49" s="1165" t="e">
        <f ca="1">Hvap_(H27,H39,H40)</f>
        <v>#NAME?</v>
      </c>
      <c r="I49" s="92"/>
    </row>
    <row r="50" spans="3:12">
      <c r="C50" s="134" t="s">
        <v>245</v>
      </c>
      <c r="D50" s="1155"/>
      <c r="E50" s="1155" t="s">
        <v>251</v>
      </c>
      <c r="F50" s="1164" t="e">
        <f ca="1">Hvap_(F27,F39,F40)</f>
        <v>#NAME?</v>
      </c>
      <c r="G50" s="1164" t="e">
        <f ca="1">Hvap_(G27,G39,G40)</f>
        <v>#NAME?</v>
      </c>
      <c r="H50" s="1164" t="e">
        <f ca="1">Hvap_(H27,H39,H40)</f>
        <v>#NAME?</v>
      </c>
      <c r="I50" s="92"/>
    </row>
    <row r="51" spans="3:12">
      <c r="C51" s="134" t="s">
        <v>249</v>
      </c>
      <c r="D51" s="1155"/>
      <c r="E51" s="1155" t="s">
        <v>251</v>
      </c>
      <c r="F51" s="1164">
        <f>[9]!cp_(F27,F39,F40)</f>
        <v>5.1954637082022659</v>
      </c>
      <c r="G51" s="1159">
        <f>[9]!cp_(G27,G39,G40)</f>
        <v>1.0729110568276643</v>
      </c>
      <c r="H51" s="1164">
        <f>[9]!cp_(H27,H39,H40)</f>
        <v>0</v>
      </c>
      <c r="I51" s="92"/>
    </row>
    <row r="52" spans="3:12">
      <c r="D52" s="91"/>
      <c r="E52" s="91"/>
    </row>
    <row r="53" spans="3:12">
      <c r="D53" s="91"/>
      <c r="E53" s="91"/>
    </row>
    <row r="54" spans="3:12">
      <c r="L54" s="95"/>
    </row>
    <row r="58" spans="3:12">
      <c r="E58" s="432" t="s">
        <v>316</v>
      </c>
      <c r="H58" s="91">
        <v>100</v>
      </c>
    </row>
    <row r="59" spans="3:12">
      <c r="H59" s="91">
        <f>4</f>
        <v>4</v>
      </c>
    </row>
    <row r="60" spans="3:12">
      <c r="E60" s="432" t="s">
        <v>986</v>
      </c>
      <c r="F60" s="1166">
        <v>400</v>
      </c>
      <c r="H60" s="91">
        <f>H59*H58</f>
        <v>400</v>
      </c>
    </row>
    <row r="61" spans="3:12">
      <c r="E61" s="432" t="s">
        <v>987</v>
      </c>
      <c r="F61" s="1166">
        <f>D71-F60</f>
        <v>2369.6366118062265</v>
      </c>
    </row>
    <row r="68" spans="3:14">
      <c r="C68" s="96" t="s">
        <v>988</v>
      </c>
      <c r="D68" s="1167">
        <v>1.3</v>
      </c>
      <c r="H68" s="96" t="s">
        <v>988</v>
      </c>
      <c r="I68" s="1170">
        <v>10</v>
      </c>
    </row>
    <row r="69" spans="3:14">
      <c r="C69" s="96" t="s">
        <v>989</v>
      </c>
      <c r="D69" s="1168">
        <f>[9]!T_sat(21,D68)</f>
        <v>79.544752412246851</v>
      </c>
      <c r="H69" s="96" t="s">
        <v>989</v>
      </c>
      <c r="I69" s="1171" t="str">
        <f>[10]!HeCalc(2,0,1,I68,9,I70*1000,1)</f>
        <v>NUM</v>
      </c>
      <c r="L69" s="91">
        <v>80</v>
      </c>
      <c r="M69" s="91">
        <v>79.599999999999994</v>
      </c>
      <c r="N69" s="92">
        <f>L69-M69</f>
        <v>0.40000000000000568</v>
      </c>
    </row>
    <row r="70" spans="3:14">
      <c r="C70" s="96" t="s">
        <v>990</v>
      </c>
      <c r="D70" s="1172">
        <f>[9]!H_(21,D68,D69)</f>
        <v>79.132474623035037</v>
      </c>
      <c r="H70" s="96" t="s">
        <v>993</v>
      </c>
      <c r="I70" s="1172">
        <f>I71/F75</f>
        <v>-35.15323966267924</v>
      </c>
      <c r="L70" s="91">
        <v>45</v>
      </c>
      <c r="M70" s="91">
        <v>44.3</v>
      </c>
      <c r="N70" s="92">
        <f>L70-M70</f>
        <v>0.70000000000000284</v>
      </c>
    </row>
    <row r="71" spans="3:14">
      <c r="C71" s="96" t="s">
        <v>991</v>
      </c>
      <c r="D71" s="1173">
        <f>D70*F75</f>
        <v>2769.6366118062265</v>
      </c>
      <c r="H71" s="96" t="s">
        <v>992</v>
      </c>
      <c r="I71" s="1173">
        <f>D71-F77*F76</f>
        <v>-1230.3633881937735</v>
      </c>
    </row>
    <row r="75" spans="3:14">
      <c r="F75" s="1175">
        <v>35</v>
      </c>
    </row>
    <row r="76" spans="3:14">
      <c r="F76" s="1169">
        <v>4</v>
      </c>
    </row>
    <row r="77" spans="3:14">
      <c r="F77" s="1174">
        <v>1000</v>
      </c>
    </row>
    <row r="81" spans="12:12">
      <c r="L81" s="91">
        <f>21.16</f>
        <v>21.16</v>
      </c>
    </row>
    <row r="82" spans="12:12">
      <c r="L82" s="91">
        <v>3.5</v>
      </c>
    </row>
    <row r="83" spans="12:12">
      <c r="L83" s="91">
        <f>PI()*(L82^2/4)*L81</f>
        <v>203.58305793425257</v>
      </c>
    </row>
    <row r="84" spans="12:12">
      <c r="L84" s="91">
        <v>128</v>
      </c>
    </row>
    <row r="85" spans="12:12">
      <c r="L85" s="91">
        <f>L83-L84</f>
        <v>75.583057934252565</v>
      </c>
    </row>
  </sheetData>
  <protectedRanges>
    <protectedRange sqref="F32:H32 C32:D32 F28:H29" name="Process_1"/>
  </protectedRanges>
  <phoneticPr fontId="12" type="noConversion"/>
  <dataValidations count="2">
    <dataValidation type="list" allowBlank="1" showInputMessage="1" showErrorMessage="1" sqref="F26:H26">
      <formula1>GP_fluides</formula1>
    </dataValidation>
    <dataValidation type="list" allowBlank="1" showInputMessage="1" showErrorMessage="1" sqref="C32:D32">
      <formula1>$B$8:$B$10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Feuil5"/>
  <dimension ref="B1:H162"/>
  <sheetViews>
    <sheetView topLeftCell="A53" workbookViewId="0">
      <selection activeCell="B29" sqref="B29:C66"/>
    </sheetView>
  </sheetViews>
  <sheetFormatPr defaultColWidth="11.42578125" defaultRowHeight="12.75"/>
  <cols>
    <col min="1" max="1" width="11.42578125" customWidth="1"/>
    <col min="2" max="2" width="25.28515625" bestFit="1" customWidth="1"/>
    <col min="3" max="3" width="11.5703125" bestFit="1" customWidth="1"/>
    <col min="4" max="5" width="24" bestFit="1" customWidth="1"/>
    <col min="6" max="6" width="9.5703125" bestFit="1" customWidth="1"/>
    <col min="7" max="7" width="12.42578125" bestFit="1" customWidth="1"/>
    <col min="8" max="8" width="11.5703125" bestFit="1" customWidth="1"/>
    <col min="9" max="9" width="11.140625" bestFit="1" customWidth="1"/>
    <col min="10" max="10" width="12.28515625" bestFit="1" customWidth="1"/>
    <col min="11" max="11" width="5.5703125" bestFit="1" customWidth="1"/>
    <col min="12" max="12" width="7.140625" bestFit="1" customWidth="1"/>
    <col min="13" max="13" width="5.85546875" bestFit="1" customWidth="1"/>
    <col min="14" max="14" width="6.5703125" bestFit="1" customWidth="1"/>
    <col min="15" max="15" width="5.5703125" bestFit="1" customWidth="1"/>
  </cols>
  <sheetData>
    <row r="1" spans="2:8" ht="13.5" thickBot="1"/>
    <row r="2" spans="2:8">
      <c r="B2" s="1254" t="s">
        <v>90</v>
      </c>
      <c r="C2" s="1255"/>
      <c r="D2" s="1255"/>
      <c r="E2" s="1255"/>
      <c r="F2" s="1255"/>
      <c r="G2" s="1255"/>
      <c r="H2" s="1256"/>
    </row>
    <row r="3" spans="2:8">
      <c r="B3" s="18" t="s">
        <v>91</v>
      </c>
      <c r="C3" s="19">
        <v>21</v>
      </c>
      <c r="D3" s="20" t="s">
        <v>92</v>
      </c>
      <c r="E3" s="16"/>
      <c r="F3" s="14"/>
      <c r="G3" s="14"/>
      <c r="H3" s="21"/>
    </row>
    <row r="4" spans="2:8">
      <c r="B4" s="22" t="s">
        <v>93</v>
      </c>
      <c r="C4" s="23">
        <v>9.5</v>
      </c>
      <c r="D4" s="23" t="s">
        <v>94</v>
      </c>
      <c r="E4" s="16"/>
      <c r="F4" s="14"/>
      <c r="G4" s="16"/>
      <c r="H4" s="21"/>
    </row>
    <row r="5" spans="2:8">
      <c r="B5" s="24" t="s">
        <v>95</v>
      </c>
      <c r="C5" s="25">
        <v>300</v>
      </c>
      <c r="D5" s="20" t="s">
        <v>96</v>
      </c>
      <c r="E5" s="15"/>
      <c r="F5" s="15"/>
      <c r="G5" s="15"/>
      <c r="H5" s="21"/>
    </row>
    <row r="6" spans="2:8">
      <c r="B6" s="26" t="s">
        <v>97</v>
      </c>
      <c r="C6" s="27">
        <f>C4*10^5</f>
        <v>950000</v>
      </c>
      <c r="D6" s="28" t="s">
        <v>98</v>
      </c>
      <c r="E6" s="15"/>
      <c r="F6" s="15"/>
      <c r="G6" s="15"/>
      <c r="H6" s="21"/>
    </row>
    <row r="7" spans="2:8">
      <c r="B7" s="26" t="s">
        <v>99</v>
      </c>
      <c r="C7" s="27">
        <f>[9]!FluidProperties($C$3,1,$D$150,2,$C$5,3,0,1)</f>
        <v>0</v>
      </c>
      <c r="D7" s="28" t="s">
        <v>82</v>
      </c>
      <c r="E7" s="15"/>
      <c r="F7" s="29">
        <v>16</v>
      </c>
      <c r="G7" s="30">
        <f>[9]!FluidProperties($C$3,1,$C$4,2,$C$23-10,F7,0,1)</f>
        <v>1.8283746493018561E-5</v>
      </c>
      <c r="H7" s="21"/>
    </row>
    <row r="8" spans="2:8">
      <c r="B8" s="26" t="s">
        <v>100</v>
      </c>
      <c r="C8" s="27">
        <f>[9]!FluidProperties($C$3,1,$D$150,2,$C$5,5,0,1)/1000</f>
        <v>0</v>
      </c>
      <c r="D8" s="28" t="s">
        <v>101</v>
      </c>
      <c r="E8" s="15"/>
      <c r="F8" s="15"/>
      <c r="G8" s="15"/>
      <c r="H8" s="21"/>
    </row>
    <row r="9" spans="2:8">
      <c r="B9" s="26" t="s">
        <v>102</v>
      </c>
      <c r="C9" s="27">
        <f>[9]!FluidProperties($C$3,1,$D$150,2,$C$5,4,0,1)/1000</f>
        <v>0</v>
      </c>
      <c r="D9" s="28" t="s">
        <v>103</v>
      </c>
      <c r="E9" s="15"/>
      <c r="F9" s="15"/>
      <c r="G9" s="15"/>
      <c r="H9" s="21"/>
    </row>
    <row r="10" spans="2:8">
      <c r="B10" s="26" t="s">
        <v>104</v>
      </c>
      <c r="C10" s="27">
        <f>[9]!FluidProperties($C$3,1,$D$150,2,$C$5,6,0,1)/1000</f>
        <v>0</v>
      </c>
      <c r="D10" s="28" t="s">
        <v>101</v>
      </c>
      <c r="E10" s="15"/>
      <c r="F10" s="31">
        <v>12</v>
      </c>
      <c r="G10" s="32">
        <f>[9]!FConstant(C3,F10)</f>
        <v>28.013400000000001</v>
      </c>
      <c r="H10" s="21"/>
    </row>
    <row r="11" spans="2:8">
      <c r="B11" s="26" t="s">
        <v>105</v>
      </c>
      <c r="C11" s="27">
        <f>[9]!FluidProperties($C$3,1,$D$150,2,$C$5,10,0,1)/1000</f>
        <v>0</v>
      </c>
      <c r="D11" s="28" t="s">
        <v>103</v>
      </c>
      <c r="E11" s="15"/>
      <c r="F11" s="15"/>
      <c r="G11" s="15"/>
      <c r="H11" s="21"/>
    </row>
    <row r="12" spans="2:8">
      <c r="B12" s="26" t="s">
        <v>106</v>
      </c>
      <c r="C12" s="27">
        <f>[9]!FluidProperties($C$3,1,$D$150,2,$C$5,9,0,1)/1000</f>
        <v>0</v>
      </c>
      <c r="D12" s="28" t="s">
        <v>103</v>
      </c>
      <c r="E12" s="15"/>
      <c r="F12" s="15"/>
      <c r="G12" s="15"/>
      <c r="H12" s="21"/>
    </row>
    <row r="13" spans="2:8">
      <c r="B13" s="33" t="s">
        <v>192</v>
      </c>
      <c r="C13" s="27">
        <f>[9]!FluidProperties($C$3,1,$D$150,2,$C$5,11,0,1)</f>
        <v>0</v>
      </c>
      <c r="D13" s="34" t="s">
        <v>107</v>
      </c>
      <c r="E13" s="14"/>
      <c r="F13" s="14"/>
      <c r="G13" s="14"/>
      <c r="H13" s="21"/>
    </row>
    <row r="14" spans="2:8">
      <c r="B14" s="35" t="s">
        <v>108</v>
      </c>
      <c r="C14" s="27">
        <f>[9]!FluidProperties($C$3,1,$D$150,2,$C$5,22,0,1)</f>
        <v>0</v>
      </c>
      <c r="D14" s="34" t="s">
        <v>109</v>
      </c>
      <c r="E14" s="14"/>
      <c r="F14" s="14"/>
      <c r="G14" s="14"/>
      <c r="H14" s="21"/>
    </row>
    <row r="15" spans="2:8">
      <c r="B15" s="35" t="s">
        <v>110</v>
      </c>
      <c r="C15" s="36">
        <f>[9]!FluidProperties($C$3,1,$D$150,2,$C$5,21,0,1)</f>
        <v>0</v>
      </c>
      <c r="D15" s="34" t="s">
        <v>111</v>
      </c>
      <c r="E15" s="14">
        <f>[9]!H_(C3,C4,C5)</f>
        <v>309.56250598923663</v>
      </c>
      <c r="F15" s="14"/>
      <c r="G15" s="14"/>
      <c r="H15" s="21"/>
    </row>
    <row r="16" spans="2:8">
      <c r="B16" s="26" t="s">
        <v>112</v>
      </c>
      <c r="C16" s="27">
        <f>[9]!FluidProperties($C$3,1,$D$150,2,$C$5,15,0,1)</f>
        <v>0</v>
      </c>
      <c r="D16" s="28" t="s">
        <v>113</v>
      </c>
      <c r="E16" s="15"/>
      <c r="F16" s="15"/>
      <c r="G16" s="15"/>
      <c r="H16" s="21"/>
    </row>
    <row r="17" spans="2:8">
      <c r="B17" s="37" t="s">
        <v>114</v>
      </c>
      <c r="C17" s="27">
        <f>[9]!FluidProperties($C$3,1,$D$150,2,$C$5,24,0,1)</f>
        <v>0</v>
      </c>
      <c r="D17" s="34" t="s">
        <v>107</v>
      </c>
      <c r="E17" s="38"/>
      <c r="F17" s="14"/>
      <c r="G17" s="14"/>
      <c r="H17" s="21"/>
    </row>
    <row r="18" spans="2:8">
      <c r="B18" s="37" t="s">
        <v>115</v>
      </c>
      <c r="C18" s="27">
        <f>[9]!FluidProperties($C$3,1,$D$150,10,$C$5,29,0,1)/1000</f>
        <v>0</v>
      </c>
      <c r="D18" s="28" t="s">
        <v>101</v>
      </c>
      <c r="E18" s="38"/>
      <c r="F18" s="14"/>
      <c r="G18" s="14"/>
      <c r="H18" s="21"/>
    </row>
    <row r="19" spans="2:8">
      <c r="B19" s="26" t="s">
        <v>116</v>
      </c>
      <c r="C19" s="27">
        <f>[9]!FluidProperties($C$3,1,$D$150,2,$C$5,20,0,1)</f>
        <v>0</v>
      </c>
      <c r="D19" s="34" t="s">
        <v>107</v>
      </c>
      <c r="E19" s="15"/>
      <c r="F19" s="15"/>
      <c r="G19" s="15"/>
      <c r="H19" s="21"/>
    </row>
    <row r="20" spans="2:8">
      <c r="B20" s="37" t="s">
        <v>117</v>
      </c>
      <c r="C20" s="39">
        <f>[9]!FConstant(C3,4)</f>
        <v>8.3141099999999994</v>
      </c>
      <c r="D20" s="40" t="s">
        <v>107</v>
      </c>
      <c r="E20" s="38"/>
      <c r="F20" s="14"/>
      <c r="G20" s="14"/>
      <c r="H20" s="21"/>
    </row>
    <row r="21" spans="2:8">
      <c r="B21" s="37" t="s">
        <v>87</v>
      </c>
      <c r="C21" s="39">
        <f>C19*C7*C20*C5/C4/100000*1000</f>
        <v>0</v>
      </c>
      <c r="D21" s="41" t="s">
        <v>118</v>
      </c>
      <c r="E21" s="38"/>
      <c r="F21" s="14"/>
      <c r="G21" s="14"/>
      <c r="H21" s="21"/>
    </row>
    <row r="22" spans="2:8">
      <c r="B22" s="37" t="s">
        <v>119</v>
      </c>
      <c r="C22" s="39">
        <f>[9]!FluidProperties(C3,2,C5,10,0,1,2,1)/100000</f>
        <v>0</v>
      </c>
      <c r="D22" s="41" t="s">
        <v>120</v>
      </c>
      <c r="E22" s="38"/>
      <c r="F22" s="14"/>
      <c r="G22" s="14"/>
      <c r="H22" s="21"/>
    </row>
    <row r="23" spans="2:8">
      <c r="B23" s="37" t="s">
        <v>121</v>
      </c>
      <c r="C23" s="39">
        <f>[9]!FluidProperties(C3,1,C4*100000,10,0,2,2,1)</f>
        <v>102.96193022014609</v>
      </c>
      <c r="D23" s="41" t="s">
        <v>96</v>
      </c>
      <c r="E23" s="38"/>
      <c r="F23" s="14"/>
      <c r="G23" s="14"/>
      <c r="H23" s="21"/>
    </row>
    <row r="24" spans="2:8" ht="13.5" thickBot="1">
      <c r="B24" s="42" t="s">
        <v>122</v>
      </c>
      <c r="C24" s="43">
        <f>[9]!FluidProperties($C$3,1,$D$150,2,$C$5,17,0,1)/1000</f>
        <v>0</v>
      </c>
      <c r="D24" s="44" t="s">
        <v>101</v>
      </c>
      <c r="E24" s="45"/>
      <c r="F24" s="46"/>
      <c r="G24" s="46"/>
      <c r="H24" s="47"/>
    </row>
    <row r="25" spans="2:8">
      <c r="B25" s="17"/>
      <c r="C25" s="48"/>
      <c r="D25" s="48"/>
      <c r="E25" s="48"/>
    </row>
    <row r="26" spans="2:8">
      <c r="B26" s="17"/>
      <c r="C26" s="48"/>
      <c r="D26" s="48"/>
      <c r="E26" s="48"/>
    </row>
    <row r="27" spans="2:8">
      <c r="B27" s="17"/>
      <c r="C27" s="48"/>
      <c r="D27" s="48"/>
      <c r="E27" s="48"/>
    </row>
    <row r="28" spans="2:8">
      <c r="B28" s="17"/>
      <c r="C28" s="48"/>
      <c r="D28" s="48"/>
      <c r="E28" s="48"/>
    </row>
    <row r="29" spans="2:8">
      <c r="B29" s="49" t="s">
        <v>123</v>
      </c>
      <c r="C29" s="50">
        <v>1</v>
      </c>
      <c r="D29" s="51" t="s">
        <v>83</v>
      </c>
      <c r="E29" s="51" t="s">
        <v>124</v>
      </c>
    </row>
    <row r="30" spans="2:8">
      <c r="B30" s="49" t="s">
        <v>3</v>
      </c>
      <c r="C30" s="50">
        <v>2</v>
      </c>
      <c r="D30" s="51" t="s">
        <v>89</v>
      </c>
      <c r="E30" s="51" t="s">
        <v>125</v>
      </c>
    </row>
    <row r="31" spans="2:8">
      <c r="B31" s="49" t="s">
        <v>126</v>
      </c>
      <c r="C31" s="50">
        <v>3</v>
      </c>
      <c r="D31" s="51" t="s">
        <v>127</v>
      </c>
      <c r="E31" s="51" t="s">
        <v>128</v>
      </c>
    </row>
    <row r="32" spans="2:8">
      <c r="B32" s="49" t="s">
        <v>129</v>
      </c>
      <c r="C32" s="50">
        <v>4</v>
      </c>
      <c r="D32" s="51" t="s">
        <v>130</v>
      </c>
      <c r="E32" s="51" t="s">
        <v>131</v>
      </c>
    </row>
    <row r="33" spans="2:5">
      <c r="B33" s="49" t="s">
        <v>132</v>
      </c>
      <c r="C33" s="50">
        <v>5</v>
      </c>
      <c r="D33" s="51" t="s">
        <v>133</v>
      </c>
      <c r="E33" s="51" t="s">
        <v>134</v>
      </c>
    </row>
    <row r="34" spans="2:5">
      <c r="B34" s="49" t="s">
        <v>135</v>
      </c>
      <c r="C34" s="50">
        <v>6</v>
      </c>
      <c r="D34" s="51" t="s">
        <v>136</v>
      </c>
      <c r="E34" s="51" t="s">
        <v>137</v>
      </c>
    </row>
    <row r="35" spans="2:5">
      <c r="B35" s="49" t="s">
        <v>138</v>
      </c>
      <c r="C35" s="50">
        <v>7</v>
      </c>
      <c r="D35" s="51" t="s">
        <v>139</v>
      </c>
      <c r="E35" s="51" t="s">
        <v>140</v>
      </c>
    </row>
    <row r="36" spans="2:5">
      <c r="B36" s="49" t="s">
        <v>16</v>
      </c>
      <c r="C36" s="50">
        <v>8</v>
      </c>
      <c r="D36" s="51" t="s">
        <v>141</v>
      </c>
      <c r="E36" s="51" t="s">
        <v>142</v>
      </c>
    </row>
    <row r="37" spans="2:5">
      <c r="B37" s="49" t="s">
        <v>143</v>
      </c>
      <c r="C37" s="50">
        <v>9</v>
      </c>
      <c r="D37" s="51" t="s">
        <v>144</v>
      </c>
      <c r="E37" s="51" t="s">
        <v>145</v>
      </c>
    </row>
    <row r="38" spans="2:5">
      <c r="B38" s="49" t="s">
        <v>143</v>
      </c>
      <c r="C38" s="50">
        <v>10</v>
      </c>
      <c r="D38" s="51" t="s">
        <v>146</v>
      </c>
      <c r="E38" s="51" t="s">
        <v>147</v>
      </c>
    </row>
    <row r="39" spans="2:5">
      <c r="B39" s="49" t="s">
        <v>21</v>
      </c>
      <c r="C39" s="50">
        <v>11</v>
      </c>
      <c r="D39" s="51" t="s">
        <v>148</v>
      </c>
      <c r="E39" s="51" t="s">
        <v>149</v>
      </c>
    </row>
    <row r="40" spans="2:5">
      <c r="B40" s="49" t="s">
        <v>150</v>
      </c>
      <c r="C40" s="50">
        <v>12</v>
      </c>
      <c r="D40" s="51" t="s">
        <v>151</v>
      </c>
      <c r="E40" s="51" t="s">
        <v>152</v>
      </c>
    </row>
    <row r="41" spans="2:5">
      <c r="B41" s="49" t="s">
        <v>153</v>
      </c>
      <c r="C41" s="50">
        <v>13</v>
      </c>
      <c r="D41" s="51" t="s">
        <v>154</v>
      </c>
      <c r="E41" s="51" t="s">
        <v>155</v>
      </c>
    </row>
    <row r="42" spans="2:5">
      <c r="B42" s="49" t="s">
        <v>156</v>
      </c>
      <c r="C42" s="50">
        <v>14</v>
      </c>
      <c r="D42" s="51" t="s">
        <v>157</v>
      </c>
      <c r="E42" s="51" t="s">
        <v>158</v>
      </c>
    </row>
    <row r="43" spans="2:5">
      <c r="B43" s="49" t="s">
        <v>159</v>
      </c>
      <c r="C43" s="50">
        <v>15</v>
      </c>
      <c r="D43" s="51" t="s">
        <v>160</v>
      </c>
      <c r="E43" s="48"/>
    </row>
    <row r="44" spans="2:5">
      <c r="B44" s="49" t="s">
        <v>23</v>
      </c>
      <c r="C44" s="50">
        <v>16</v>
      </c>
      <c r="D44" s="51" t="s">
        <v>161</v>
      </c>
      <c r="E44" s="48"/>
    </row>
    <row r="45" spans="2:5">
      <c r="B45" s="49" t="s">
        <v>27</v>
      </c>
      <c r="C45" s="50">
        <v>17</v>
      </c>
      <c r="D45" s="51" t="s">
        <v>162</v>
      </c>
      <c r="E45" s="48"/>
    </row>
    <row r="46" spans="2:5">
      <c r="B46" s="49" t="s">
        <v>163</v>
      </c>
      <c r="C46" s="50">
        <v>18</v>
      </c>
      <c r="D46" s="51" t="s">
        <v>164</v>
      </c>
      <c r="E46" s="48"/>
    </row>
    <row r="47" spans="2:5">
      <c r="B47" s="49" t="s">
        <v>163</v>
      </c>
      <c r="C47" s="50">
        <v>19</v>
      </c>
      <c r="D47" s="51" t="s">
        <v>165</v>
      </c>
      <c r="E47" s="48"/>
    </row>
    <row r="48" spans="2:5">
      <c r="B48" s="49" t="s">
        <v>166</v>
      </c>
      <c r="C48" s="50">
        <v>20</v>
      </c>
      <c r="D48" s="51" t="s">
        <v>167</v>
      </c>
      <c r="E48" s="48"/>
    </row>
    <row r="49" spans="2:5">
      <c r="B49" s="49" t="s">
        <v>168</v>
      </c>
      <c r="C49" s="50">
        <v>21</v>
      </c>
      <c r="D49" s="51" t="s">
        <v>169</v>
      </c>
      <c r="E49" s="48"/>
    </row>
    <row r="50" spans="2:5">
      <c r="B50" s="49" t="s">
        <v>168</v>
      </c>
      <c r="C50" s="50">
        <v>22</v>
      </c>
      <c r="D50" s="51" t="s">
        <v>170</v>
      </c>
      <c r="E50" s="48"/>
    </row>
    <row r="51" spans="2:5">
      <c r="B51" s="49" t="s">
        <v>171</v>
      </c>
      <c r="C51" s="50">
        <v>23</v>
      </c>
      <c r="D51" s="51" t="s">
        <v>172</v>
      </c>
      <c r="E51" s="48"/>
    </row>
    <row r="52" spans="2:5">
      <c r="B52" s="49" t="s">
        <v>173</v>
      </c>
      <c r="C52" s="50">
        <v>24</v>
      </c>
      <c r="D52" s="51" t="s">
        <v>174</v>
      </c>
      <c r="E52" s="48"/>
    </row>
    <row r="53" spans="2:5">
      <c r="B53" s="49" t="s">
        <v>173</v>
      </c>
      <c r="C53" s="50">
        <v>25</v>
      </c>
      <c r="D53" s="51" t="s">
        <v>175</v>
      </c>
      <c r="E53" s="48"/>
    </row>
    <row r="54" spans="2:5">
      <c r="B54" s="49" t="s">
        <v>43</v>
      </c>
      <c r="C54" s="50">
        <v>26</v>
      </c>
      <c r="D54" s="51" t="s">
        <v>176</v>
      </c>
      <c r="E54" s="48"/>
    </row>
    <row r="55" spans="2:5">
      <c r="B55" s="49" t="s">
        <v>177</v>
      </c>
      <c r="C55" s="50">
        <v>27</v>
      </c>
      <c r="D55" s="51" t="s">
        <v>178</v>
      </c>
      <c r="E55" s="48"/>
    </row>
    <row r="56" spans="2:5">
      <c r="B56" s="49" t="s">
        <v>179</v>
      </c>
      <c r="C56" s="50">
        <v>28</v>
      </c>
      <c r="D56" s="51" t="s">
        <v>180</v>
      </c>
      <c r="E56" s="48"/>
    </row>
    <row r="57" spans="2:5">
      <c r="B57" s="49" t="s">
        <v>181</v>
      </c>
      <c r="C57" s="50">
        <v>29</v>
      </c>
      <c r="D57" s="51" t="s">
        <v>182</v>
      </c>
      <c r="E57" s="48"/>
    </row>
    <row r="58" spans="2:5">
      <c r="B58" s="49" t="s">
        <v>183</v>
      </c>
      <c r="C58" s="50">
        <v>30</v>
      </c>
      <c r="D58" s="51" t="s">
        <v>184</v>
      </c>
      <c r="E58" s="48"/>
    </row>
    <row r="59" spans="2:5">
      <c r="B59" s="49" t="s">
        <v>185</v>
      </c>
      <c r="C59" s="50">
        <v>31</v>
      </c>
      <c r="D59" s="52"/>
      <c r="E59" s="48"/>
    </row>
    <row r="60" spans="2:5">
      <c r="B60" s="49" t="s">
        <v>186</v>
      </c>
      <c r="C60" s="50">
        <v>32</v>
      </c>
      <c r="D60" s="52"/>
      <c r="E60" s="48"/>
    </row>
    <row r="61" spans="2:5">
      <c r="B61" s="49" t="s">
        <v>187</v>
      </c>
      <c r="C61" s="50">
        <v>33</v>
      </c>
      <c r="D61" s="52"/>
      <c r="E61" s="48"/>
    </row>
    <row r="62" spans="2:5">
      <c r="B62" s="49" t="s">
        <v>188</v>
      </c>
      <c r="C62" s="50">
        <v>34</v>
      </c>
      <c r="D62" s="52"/>
      <c r="E62" s="48"/>
    </row>
    <row r="63" spans="2:5">
      <c r="B63" s="49" t="s">
        <v>189</v>
      </c>
      <c r="C63" s="50">
        <v>35</v>
      </c>
      <c r="D63" s="52"/>
      <c r="E63" s="48"/>
    </row>
    <row r="64" spans="2:5">
      <c r="B64" s="49" t="s">
        <v>190</v>
      </c>
      <c r="C64" s="50">
        <v>36</v>
      </c>
      <c r="D64" s="52"/>
      <c r="E64" s="48"/>
    </row>
    <row r="65" spans="2:5">
      <c r="B65" s="49" t="s">
        <v>190</v>
      </c>
      <c r="C65" s="50">
        <v>37</v>
      </c>
      <c r="D65" s="52"/>
      <c r="E65" s="48"/>
    </row>
    <row r="66" spans="2:5">
      <c r="B66" s="49" t="s">
        <v>191</v>
      </c>
      <c r="C66" s="50">
        <v>38</v>
      </c>
      <c r="D66" s="52"/>
      <c r="E66" s="48"/>
    </row>
    <row r="67" spans="2:5">
      <c r="B67" s="53"/>
      <c r="C67" s="38"/>
      <c r="D67" s="38"/>
      <c r="E67" s="48"/>
    </row>
    <row r="68" spans="2:5">
      <c r="B68" s="53"/>
      <c r="C68" s="38"/>
      <c r="D68" s="38"/>
      <c r="E68" s="48"/>
    </row>
    <row r="69" spans="2:5">
      <c r="B69" s="53"/>
      <c r="C69" s="38"/>
      <c r="D69" s="38"/>
      <c r="E69" s="48"/>
    </row>
    <row r="70" spans="2:5">
      <c r="B70" s="53"/>
      <c r="C70" s="38"/>
      <c r="D70" s="38"/>
      <c r="E70" s="48"/>
    </row>
    <row r="71" spans="2:5">
      <c r="B71" s="53"/>
      <c r="C71" s="38"/>
      <c r="D71" s="38"/>
      <c r="E71" s="48"/>
    </row>
    <row r="72" spans="2:5">
      <c r="B72" s="53"/>
      <c r="C72" s="38"/>
      <c r="D72" s="38"/>
      <c r="E72" s="48"/>
    </row>
    <row r="73" spans="2:5">
      <c r="B73" s="53"/>
      <c r="C73" s="38"/>
      <c r="D73" s="38"/>
      <c r="E73" s="48"/>
    </row>
    <row r="74" spans="2:5">
      <c r="B74" s="53"/>
      <c r="C74" s="38"/>
      <c r="D74" s="38"/>
      <c r="E74" s="48"/>
    </row>
    <row r="75" spans="2:5">
      <c r="B75" s="53"/>
      <c r="C75" s="38"/>
      <c r="D75" s="38"/>
      <c r="E75" s="48"/>
    </row>
    <row r="76" spans="2:5">
      <c r="B76" s="53"/>
      <c r="C76" s="38"/>
      <c r="D76" s="38"/>
      <c r="E76" s="48"/>
    </row>
    <row r="77" spans="2:5">
      <c r="B77" s="53"/>
      <c r="C77" s="38"/>
      <c r="D77" s="38"/>
      <c r="E77" s="48"/>
    </row>
    <row r="78" spans="2:5">
      <c r="B78" s="17"/>
      <c r="C78" s="48"/>
      <c r="D78" s="48"/>
      <c r="E78" s="48"/>
    </row>
    <row r="79" spans="2:5">
      <c r="B79" s="17"/>
      <c r="C79" s="48"/>
      <c r="D79" s="48"/>
      <c r="E79" s="48"/>
    </row>
    <row r="80" spans="2:5">
      <c r="B80" s="17"/>
      <c r="C80" s="48"/>
      <c r="D80" s="48"/>
      <c r="E80" s="48"/>
    </row>
    <row r="81" spans="2:5">
      <c r="B81" s="17"/>
      <c r="C81" s="48"/>
      <c r="D81" s="48"/>
      <c r="E81" s="48"/>
    </row>
    <row r="82" spans="2:5">
      <c r="B82" s="17"/>
      <c r="C82" s="48"/>
      <c r="D82" s="48"/>
      <c r="E82" s="48"/>
    </row>
    <row r="83" spans="2:5">
      <c r="B83" s="17"/>
      <c r="C83" s="48"/>
      <c r="D83" s="48"/>
      <c r="E83" s="48"/>
    </row>
    <row r="84" spans="2:5">
      <c r="B84" s="17"/>
      <c r="C84" s="48"/>
      <c r="D84" s="48"/>
      <c r="E84" s="48"/>
    </row>
    <row r="85" spans="2:5">
      <c r="B85" s="17"/>
      <c r="C85" s="48"/>
      <c r="D85" s="48"/>
      <c r="E85" s="48"/>
    </row>
    <row r="86" spans="2:5">
      <c r="B86" s="17"/>
      <c r="C86" s="48"/>
      <c r="D86" s="48"/>
      <c r="E86" s="48"/>
    </row>
    <row r="87" spans="2:5">
      <c r="B87" s="17"/>
      <c r="C87" s="48"/>
      <c r="D87" s="48"/>
      <c r="E87" s="48"/>
    </row>
    <row r="88" spans="2:5">
      <c r="B88" s="17"/>
      <c r="C88" s="48"/>
      <c r="D88" s="48"/>
      <c r="E88" s="48"/>
    </row>
    <row r="89" spans="2:5">
      <c r="B89" s="17"/>
      <c r="C89" s="48"/>
      <c r="D89" s="48"/>
      <c r="E89" s="48"/>
    </row>
    <row r="90" spans="2:5">
      <c r="B90" s="17"/>
      <c r="C90" s="48"/>
      <c r="D90" s="48"/>
      <c r="E90" s="48"/>
    </row>
    <row r="91" spans="2:5">
      <c r="B91" s="17"/>
      <c r="C91" s="48"/>
      <c r="D91" s="48"/>
      <c r="E91" s="48"/>
    </row>
    <row r="92" spans="2:5">
      <c r="B92" s="17"/>
      <c r="C92" s="48"/>
      <c r="D92" s="48"/>
      <c r="E92" s="48"/>
    </row>
    <row r="93" spans="2:5">
      <c r="B93" s="17"/>
      <c r="C93" s="48"/>
      <c r="D93" s="48"/>
      <c r="E93" s="48"/>
    </row>
    <row r="94" spans="2:5">
      <c r="B94" s="17"/>
      <c r="C94" s="48"/>
      <c r="D94" s="48"/>
      <c r="E94" s="48"/>
    </row>
    <row r="95" spans="2:5">
      <c r="B95" s="17"/>
      <c r="C95" s="48"/>
      <c r="D95" s="48"/>
      <c r="E95" s="48"/>
    </row>
    <row r="96" spans="2:5">
      <c r="B96" s="17"/>
      <c r="C96" s="48"/>
      <c r="D96" s="48"/>
      <c r="E96" s="48"/>
    </row>
    <row r="97" spans="2:5">
      <c r="B97" s="17"/>
      <c r="C97" s="48"/>
      <c r="D97" s="48"/>
      <c r="E97" s="48"/>
    </row>
    <row r="98" spans="2:5">
      <c r="B98" s="17"/>
      <c r="C98" s="48"/>
      <c r="D98" s="48"/>
      <c r="E98" s="48"/>
    </row>
    <row r="99" spans="2:5">
      <c r="B99" s="17"/>
      <c r="C99" s="48"/>
      <c r="D99" s="48"/>
      <c r="E99" s="48"/>
    </row>
    <row r="100" spans="2:5">
      <c r="B100" s="17"/>
      <c r="C100" s="48"/>
      <c r="D100" s="48"/>
      <c r="E100" s="48"/>
    </row>
    <row r="101" spans="2:5">
      <c r="B101" s="17"/>
      <c r="C101" s="48"/>
      <c r="D101" s="48"/>
      <c r="E101" s="48"/>
    </row>
    <row r="102" spans="2:5">
      <c r="B102" s="17"/>
      <c r="C102" s="48"/>
      <c r="D102" s="48"/>
      <c r="E102" s="48"/>
    </row>
    <row r="103" spans="2:5">
      <c r="B103" s="17"/>
      <c r="C103" s="48"/>
      <c r="D103" s="48"/>
      <c r="E103" s="48"/>
    </row>
    <row r="104" spans="2:5">
      <c r="B104" s="17"/>
      <c r="C104" s="48"/>
      <c r="D104" s="48"/>
      <c r="E104" s="48"/>
    </row>
    <row r="105" spans="2:5">
      <c r="B105" s="17"/>
      <c r="C105" s="48"/>
      <c r="D105" s="48"/>
      <c r="E105" s="48"/>
    </row>
    <row r="106" spans="2:5">
      <c r="B106" s="17"/>
      <c r="C106" s="48"/>
      <c r="D106" s="48"/>
      <c r="E106" s="48"/>
    </row>
    <row r="107" spans="2:5">
      <c r="B107" s="17"/>
      <c r="C107" s="48"/>
      <c r="D107" s="48"/>
      <c r="E107" s="48"/>
    </row>
    <row r="108" spans="2:5">
      <c r="B108" s="17"/>
      <c r="C108" s="48"/>
      <c r="D108" s="48"/>
      <c r="E108" s="48"/>
    </row>
    <row r="109" spans="2:5">
      <c r="B109" s="17"/>
      <c r="C109" s="48"/>
      <c r="D109" s="48"/>
      <c r="E109" s="48"/>
    </row>
    <row r="110" spans="2:5">
      <c r="B110" s="17"/>
      <c r="C110" s="48"/>
      <c r="D110" s="48"/>
      <c r="E110" s="48"/>
    </row>
    <row r="111" spans="2:5">
      <c r="B111" s="17"/>
      <c r="C111" s="48"/>
      <c r="D111" s="48"/>
      <c r="E111" s="48"/>
    </row>
    <row r="112" spans="2:5">
      <c r="B112" s="17"/>
      <c r="C112" s="48"/>
      <c r="D112" s="48"/>
      <c r="E112" s="48"/>
    </row>
    <row r="113" spans="2:5">
      <c r="B113" s="17"/>
      <c r="C113" s="48"/>
      <c r="D113" s="48"/>
      <c r="E113" s="48"/>
    </row>
    <row r="114" spans="2:5">
      <c r="B114" s="17"/>
      <c r="C114" s="48"/>
      <c r="D114" s="48"/>
      <c r="E114" s="48"/>
    </row>
    <row r="115" spans="2:5">
      <c r="B115" s="17"/>
      <c r="C115" s="48"/>
      <c r="D115" s="48"/>
      <c r="E115" s="48"/>
    </row>
    <row r="116" spans="2:5">
      <c r="B116" s="17"/>
      <c r="C116" s="48"/>
      <c r="D116" s="48"/>
      <c r="E116" s="48"/>
    </row>
    <row r="117" spans="2:5">
      <c r="B117" s="17"/>
      <c r="C117" s="48"/>
      <c r="D117" s="48"/>
      <c r="E117" s="48"/>
    </row>
    <row r="118" spans="2:5">
      <c r="B118" s="17"/>
      <c r="C118" s="48"/>
      <c r="D118" s="48"/>
      <c r="E118" s="48"/>
    </row>
    <row r="119" spans="2:5">
      <c r="B119" s="17"/>
      <c r="C119" s="48"/>
      <c r="D119" s="48"/>
      <c r="E119" s="48"/>
    </row>
    <row r="120" spans="2:5">
      <c r="B120" s="17"/>
      <c r="C120" s="48"/>
      <c r="D120" s="48"/>
      <c r="E120" s="48"/>
    </row>
    <row r="121" spans="2:5">
      <c r="B121" s="17"/>
      <c r="C121" s="48"/>
      <c r="D121" s="48"/>
      <c r="E121" s="48"/>
    </row>
    <row r="122" spans="2:5">
      <c r="B122" s="17"/>
      <c r="C122" s="48"/>
      <c r="D122" s="48"/>
      <c r="E122" s="48"/>
    </row>
    <row r="123" spans="2:5">
      <c r="B123" s="17"/>
      <c r="C123" s="48"/>
      <c r="D123" s="48"/>
      <c r="E123" s="48"/>
    </row>
    <row r="124" spans="2:5">
      <c r="B124" s="17"/>
      <c r="C124" s="48"/>
      <c r="D124" s="48"/>
      <c r="E124" s="48"/>
    </row>
    <row r="125" spans="2:5">
      <c r="B125" s="17"/>
      <c r="C125" s="48"/>
      <c r="D125" s="48"/>
      <c r="E125" s="48"/>
    </row>
    <row r="126" spans="2:5">
      <c r="B126" s="17"/>
      <c r="C126" s="48"/>
      <c r="D126" s="48"/>
      <c r="E126" s="48"/>
    </row>
    <row r="127" spans="2:5">
      <c r="B127" s="17"/>
      <c r="C127" s="48"/>
      <c r="D127" s="48"/>
      <c r="E127" s="48"/>
    </row>
    <row r="128" spans="2:5">
      <c r="B128" s="17"/>
      <c r="C128" s="48"/>
      <c r="D128" s="48"/>
      <c r="E128" s="48"/>
    </row>
    <row r="129" spans="2:5">
      <c r="B129" s="17"/>
      <c r="C129" s="48"/>
      <c r="D129" s="48"/>
      <c r="E129" s="48"/>
    </row>
    <row r="130" spans="2:5">
      <c r="B130" s="17"/>
      <c r="C130" s="48"/>
      <c r="D130" s="48"/>
      <c r="E130" s="48"/>
    </row>
    <row r="131" spans="2:5">
      <c r="B131" s="17"/>
      <c r="C131" s="48"/>
      <c r="D131" s="48"/>
      <c r="E131" s="48"/>
    </row>
    <row r="132" spans="2:5">
      <c r="B132" s="17"/>
      <c r="C132" s="48"/>
      <c r="D132" s="48"/>
      <c r="E132" s="48"/>
    </row>
    <row r="133" spans="2:5">
      <c r="B133" s="17"/>
      <c r="C133" s="48"/>
      <c r="D133" s="48"/>
      <c r="E133" s="48"/>
    </row>
    <row r="134" spans="2:5">
      <c r="B134" s="17"/>
      <c r="C134" s="48"/>
      <c r="D134" s="48"/>
      <c r="E134" s="48"/>
    </row>
    <row r="135" spans="2:5">
      <c r="B135" s="17"/>
      <c r="C135" s="48"/>
      <c r="D135" s="48"/>
      <c r="E135" s="48"/>
    </row>
    <row r="136" spans="2:5">
      <c r="B136" s="17"/>
      <c r="C136" s="48"/>
      <c r="D136" s="48"/>
      <c r="E136" s="48"/>
    </row>
    <row r="137" spans="2:5">
      <c r="B137" s="17"/>
      <c r="C137" s="48"/>
      <c r="D137" s="48"/>
      <c r="E137" s="48"/>
    </row>
    <row r="138" spans="2:5">
      <c r="B138" s="17"/>
      <c r="C138" s="48"/>
      <c r="D138" s="48"/>
      <c r="E138" s="48"/>
    </row>
    <row r="139" spans="2:5">
      <c r="B139" s="17"/>
      <c r="C139" s="48"/>
      <c r="D139" s="48"/>
      <c r="E139" s="48"/>
    </row>
    <row r="140" spans="2:5">
      <c r="B140" s="17"/>
      <c r="C140" s="48"/>
      <c r="D140" s="48"/>
      <c r="E140" s="48"/>
    </row>
    <row r="141" spans="2:5">
      <c r="B141" s="17"/>
      <c r="C141" s="48"/>
      <c r="D141" s="48"/>
      <c r="E141" s="48"/>
    </row>
    <row r="142" spans="2:5">
      <c r="B142" s="17"/>
      <c r="C142" s="48"/>
      <c r="D142" s="48"/>
      <c r="E142" s="48"/>
    </row>
    <row r="143" spans="2:5">
      <c r="B143" s="17"/>
      <c r="C143" s="48"/>
      <c r="D143" s="48"/>
      <c r="E143" s="48"/>
    </row>
    <row r="144" spans="2:5">
      <c r="B144" s="17"/>
      <c r="C144" s="48"/>
      <c r="D144" s="48"/>
      <c r="E144" s="48"/>
    </row>
    <row r="145" spans="2:5">
      <c r="B145" s="17"/>
      <c r="C145" s="48"/>
      <c r="D145" s="48"/>
      <c r="E145" s="48"/>
    </row>
    <row r="146" spans="2:5">
      <c r="B146" s="17"/>
      <c r="C146" s="48"/>
      <c r="D146" s="48"/>
      <c r="E146" s="48"/>
    </row>
    <row r="147" spans="2:5">
      <c r="B147" s="17"/>
      <c r="C147" s="48"/>
      <c r="D147" s="48"/>
      <c r="E147" s="48"/>
    </row>
    <row r="148" spans="2:5">
      <c r="B148" s="17"/>
      <c r="C148" s="48"/>
      <c r="D148" s="48"/>
      <c r="E148" s="48"/>
    </row>
    <row r="149" spans="2:5">
      <c r="B149" s="17"/>
      <c r="C149" s="48"/>
      <c r="D149" s="48"/>
      <c r="E149" s="48"/>
    </row>
    <row r="150" spans="2:5">
      <c r="B150" s="17"/>
      <c r="C150" s="48"/>
      <c r="D150" s="48"/>
      <c r="E150" s="48"/>
    </row>
    <row r="151" spans="2:5">
      <c r="B151" s="17"/>
      <c r="C151" s="48"/>
      <c r="D151" s="48"/>
      <c r="E151" s="48"/>
    </row>
    <row r="152" spans="2:5">
      <c r="B152" s="17"/>
      <c r="C152" s="48"/>
      <c r="D152" s="48"/>
      <c r="E152" s="48"/>
    </row>
    <row r="153" spans="2:5">
      <c r="B153" s="17"/>
      <c r="C153" s="48"/>
      <c r="D153" s="48"/>
      <c r="E153" s="48"/>
    </row>
    <row r="154" spans="2:5">
      <c r="B154" s="17"/>
      <c r="C154" s="48"/>
      <c r="D154" s="48"/>
      <c r="E154" s="48"/>
    </row>
    <row r="155" spans="2:5">
      <c r="B155" s="17"/>
      <c r="C155" s="48"/>
      <c r="D155" s="48"/>
      <c r="E155" s="48"/>
    </row>
    <row r="156" spans="2:5">
      <c r="B156" s="17"/>
      <c r="C156" s="48"/>
      <c r="D156" s="48"/>
      <c r="E156" s="48"/>
    </row>
    <row r="157" spans="2:5">
      <c r="B157" s="17"/>
      <c r="C157" s="48"/>
      <c r="D157" s="48"/>
      <c r="E157" s="48"/>
    </row>
    <row r="158" spans="2:5">
      <c r="B158" s="17"/>
      <c r="C158" s="48"/>
      <c r="D158" s="48"/>
      <c r="E158" s="48"/>
    </row>
    <row r="159" spans="2:5">
      <c r="B159" s="17"/>
      <c r="C159" s="48"/>
      <c r="D159" s="48"/>
      <c r="E159" s="48"/>
    </row>
    <row r="160" spans="2:5">
      <c r="B160" s="17"/>
      <c r="C160" s="48"/>
      <c r="D160" s="48"/>
      <c r="E160" s="48"/>
    </row>
    <row r="161" spans="2:5">
      <c r="B161" s="17"/>
      <c r="C161" s="48"/>
      <c r="D161" s="48"/>
      <c r="E161" s="48"/>
    </row>
    <row r="162" spans="2:5">
      <c r="B162" s="17"/>
      <c r="C162" s="48"/>
      <c r="D162" s="48"/>
      <c r="E162" s="48"/>
    </row>
  </sheetData>
  <mergeCells count="1">
    <mergeCell ref="B2:H2"/>
  </mergeCells>
  <phoneticPr fontId="12" type="noConversion"/>
  <pageMargins left="0.75" right="0.75" top="1" bottom="1" header="0.4921259845" footer="0.4921259845"/>
  <pageSetup paperSize="9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Feuil13"/>
  <dimension ref="B4:I52"/>
  <sheetViews>
    <sheetView topLeftCell="A40" workbookViewId="0">
      <selection activeCell="AU10" sqref="AU10"/>
    </sheetView>
  </sheetViews>
  <sheetFormatPr defaultColWidth="11.42578125" defaultRowHeight="12.75"/>
  <cols>
    <col min="1" max="1" width="11.42578125" style="91" customWidth="1"/>
    <col min="2" max="48" width="2.42578125" style="91" customWidth="1"/>
    <col min="49" max="16384" width="11.42578125" style="91"/>
  </cols>
  <sheetData>
    <row r="4" spans="2:9">
      <c r="B4" s="89" t="s">
        <v>325</v>
      </c>
      <c r="C4" s="89"/>
      <c r="D4" s="89"/>
      <c r="E4" s="89"/>
      <c r="F4" s="89"/>
      <c r="G4" s="89"/>
      <c r="H4" s="89"/>
      <c r="I4" s="89"/>
    </row>
    <row r="7" spans="2:9">
      <c r="C7" s="91" t="s">
        <v>316</v>
      </c>
    </row>
    <row r="8" spans="2:9">
      <c r="C8" s="91" t="s">
        <v>240</v>
      </c>
    </row>
    <row r="9" spans="2:9">
      <c r="C9" s="91" t="s">
        <v>241</v>
      </c>
    </row>
    <row r="10" spans="2:9">
      <c r="C10" s="91" t="s">
        <v>618</v>
      </c>
    </row>
    <row r="42" spans="2:9">
      <c r="B42" s="89" t="s">
        <v>378</v>
      </c>
      <c r="C42" s="89"/>
      <c r="D42" s="89"/>
      <c r="E42" s="89"/>
      <c r="F42" s="89"/>
      <c r="G42" s="89"/>
      <c r="H42" s="89"/>
      <c r="I42" s="89"/>
    </row>
    <row r="45" spans="2:9">
      <c r="B45" s="91" t="s">
        <v>370</v>
      </c>
      <c r="C45" s="91">
        <v>0.78080000000000005</v>
      </c>
      <c r="D45" s="91" t="s">
        <v>82</v>
      </c>
    </row>
    <row r="46" spans="2:9">
      <c r="B46" s="91" t="s">
        <v>371</v>
      </c>
      <c r="C46" s="91">
        <v>12000</v>
      </c>
    </row>
    <row r="47" spans="2:9">
      <c r="B47" s="91" t="s">
        <v>372</v>
      </c>
      <c r="C47" s="91">
        <f>(C46/C45)^(1/2)</f>
        <v>123.97117592011618</v>
      </c>
      <c r="D47" s="91" t="s">
        <v>113</v>
      </c>
    </row>
    <row r="49" spans="2:4">
      <c r="B49" s="91" t="s">
        <v>373</v>
      </c>
    </row>
    <row r="50" spans="2:4">
      <c r="B50" s="91" t="s">
        <v>374</v>
      </c>
      <c r="C50" s="91">
        <v>283</v>
      </c>
      <c r="D50" s="91" t="s">
        <v>375</v>
      </c>
    </row>
    <row r="51" spans="2:4">
      <c r="B51" s="91" t="s">
        <v>372</v>
      </c>
      <c r="C51" s="91">
        <v>1.4</v>
      </c>
    </row>
    <row r="52" spans="2:4">
      <c r="B52" s="91" t="s">
        <v>376</v>
      </c>
      <c r="C52" s="91">
        <f>((4*C50)/(3600*C51*PI()))^(1/2)*1000</f>
        <v>267.38251802325181</v>
      </c>
      <c r="D52" s="91" t="s">
        <v>377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Feuil21"/>
  <dimension ref="B8:G38"/>
  <sheetViews>
    <sheetView topLeftCell="A8" workbookViewId="0">
      <selection activeCell="G36" sqref="G36"/>
    </sheetView>
  </sheetViews>
  <sheetFormatPr defaultColWidth="11.42578125" defaultRowHeight="12.75"/>
  <cols>
    <col min="1" max="2" width="11.42578125" style="91" customWidth="1"/>
    <col min="3" max="3" width="12.28515625" style="91" bestFit="1" customWidth="1"/>
    <col min="4" max="4" width="18.28515625" style="91" customWidth="1"/>
    <col min="5" max="5" width="12.42578125" style="91" bestFit="1" customWidth="1"/>
    <col min="6" max="6" width="17.42578125" style="91" bestFit="1" customWidth="1"/>
    <col min="7" max="16384" width="11.42578125" style="91"/>
  </cols>
  <sheetData>
    <row r="8" spans="2:6" ht="27" customHeight="1">
      <c r="B8" s="523" t="s">
        <v>274</v>
      </c>
      <c r="C8" s="523" t="s">
        <v>611</v>
      </c>
      <c r="D8" s="523" t="s">
        <v>609</v>
      </c>
      <c r="E8" s="523" t="s">
        <v>906</v>
      </c>
      <c r="F8" s="523" t="s">
        <v>610</v>
      </c>
    </row>
    <row r="9" spans="2:6">
      <c r="B9" s="92">
        <v>10</v>
      </c>
      <c r="C9" s="514">
        <f t="shared" ref="C9:C38" si="0">[9]!cp_alu(B9)</f>
        <v>1.5730408468100399</v>
      </c>
      <c r="D9" s="514">
        <f>[9]!lambda_alu(B9)</f>
        <v>28.944963083327849</v>
      </c>
      <c r="E9" s="514">
        <f>[9]!cp_304(B9)</f>
        <v>5.2752980263884997</v>
      </c>
      <c r="F9" s="514">
        <f>[9]!lambda_304L(B9)</f>
        <v>0.90385757066017602</v>
      </c>
    </row>
    <row r="10" spans="2:6">
      <c r="B10" s="92">
        <f>B9+10</f>
        <v>20</v>
      </c>
      <c r="C10" s="514">
        <f t="shared" si="0"/>
        <v>8.8542702885945435</v>
      </c>
      <c r="D10" s="514">
        <f t="shared" ref="D10:D38" si="1">[9]!lambda_alu(B10)</f>
        <v>59.371489036697142</v>
      </c>
      <c r="E10" s="514">
        <f t="shared" ref="E10:E38" si="2">[9]!cp_304(B10)</f>
        <v>13.452478061309504</v>
      </c>
      <c r="F10" s="514">
        <f t="shared" ref="F10:F38" si="3">[9]!lambda_304L(B10)</f>
        <v>2.1686224062946455</v>
      </c>
    </row>
    <row r="11" spans="2:6">
      <c r="B11" s="92">
        <f t="shared" ref="B11:B38" si="4">B10+10</f>
        <v>30</v>
      </c>
      <c r="C11" s="514">
        <f t="shared" si="0"/>
        <v>33.445475647053456</v>
      </c>
      <c r="D11" s="514">
        <f t="shared" si="1"/>
        <v>85.213658267934917</v>
      </c>
      <c r="E11" s="514">
        <f t="shared" si="2"/>
        <v>30.53936071408933</v>
      </c>
      <c r="F11" s="514">
        <f t="shared" si="3"/>
        <v>3.4685725872805815</v>
      </c>
    </row>
    <row r="12" spans="2:6">
      <c r="B12" s="92">
        <f t="shared" si="4"/>
        <v>40</v>
      </c>
      <c r="C12" s="514">
        <f t="shared" si="0"/>
        <v>81.95717957329758</v>
      </c>
      <c r="D12" s="514">
        <f t="shared" si="1"/>
        <v>104.70791298461644</v>
      </c>
      <c r="E12" s="514">
        <f t="shared" si="2"/>
        <v>58.6869890565061</v>
      </c>
      <c r="F12" s="514">
        <f t="shared" si="3"/>
        <v>4.6702810002711415</v>
      </c>
    </row>
    <row r="13" spans="2:6">
      <c r="B13" s="92">
        <f t="shared" si="4"/>
        <v>50</v>
      </c>
      <c r="C13" s="514">
        <f t="shared" si="0"/>
        <v>148.83821552129808</v>
      </c>
      <c r="D13" s="514">
        <f t="shared" si="1"/>
        <v>118.69497063994827</v>
      </c>
      <c r="E13" s="514">
        <f t="shared" si="2"/>
        <v>95.689678595372683</v>
      </c>
      <c r="F13" s="514">
        <f t="shared" si="3"/>
        <v>5.7301669362781915</v>
      </c>
    </row>
    <row r="14" spans="2:6">
      <c r="B14" s="92">
        <f t="shared" si="4"/>
        <v>60</v>
      </c>
      <c r="C14" s="514">
        <f>[9]!cp_alu(B14)</f>
        <v>223.63782479317891</v>
      </c>
      <c r="D14" s="514">
        <f t="shared" si="1"/>
        <v>128.57326284332649</v>
      </c>
      <c r="E14" s="514">
        <f t="shared" si="2"/>
        <v>136.91501627752581</v>
      </c>
      <c r="F14" s="514">
        <f t="shared" si="3"/>
        <v>6.6466414265373679</v>
      </c>
    </row>
    <row r="15" spans="2:6">
      <c r="B15" s="92">
        <f t="shared" si="4"/>
        <v>70</v>
      </c>
      <c r="C15" s="514">
        <f t="shared" si="0"/>
        <v>298.29544036454388</v>
      </c>
      <c r="D15" s="514">
        <f t="shared" si="1"/>
        <v>135.57990588989216</v>
      </c>
      <c r="E15" s="514">
        <f t="shared" si="2"/>
        <v>177.79818946015757</v>
      </c>
      <c r="F15" s="514">
        <f t="shared" si="3"/>
        <v>7.4347515363945877</v>
      </c>
    </row>
    <row r="16" spans="2:6">
      <c r="B16" s="92">
        <f t="shared" si="4"/>
        <v>80</v>
      </c>
      <c r="C16" s="514">
        <f t="shared" si="0"/>
        <v>368.66917360804314</v>
      </c>
      <c r="D16" s="514">
        <f t="shared" si="1"/>
        <v>140.64586599035732</v>
      </c>
      <c r="E16" s="514">
        <f t="shared" si="2"/>
        <v>215.25908279900273</v>
      </c>
      <c r="F16" s="514">
        <f t="shared" si="3"/>
        <v>8.1143194713971525</v>
      </c>
    </row>
    <row r="17" spans="2:6">
      <c r="B17" s="92">
        <f t="shared" si="4"/>
        <v>90</v>
      </c>
      <c r="C17" s="514">
        <f t="shared" si="0"/>
        <v>433.33357400276537</v>
      </c>
      <c r="D17" s="514">
        <f t="shared" si="1"/>
        <v>144.42780761927361</v>
      </c>
      <c r="E17" s="514">
        <f t="shared" si="2"/>
        <v>247.88494909092969</v>
      </c>
      <c r="F17" s="514">
        <f t="shared" si="3"/>
        <v>8.7048449672850197</v>
      </c>
    </row>
    <row r="18" spans="2:6">
      <c r="B18" s="92">
        <f t="shared" si="4"/>
        <v>100</v>
      </c>
      <c r="C18" s="514">
        <f t="shared" si="0"/>
        <v>492.1981760574281</v>
      </c>
      <c r="D18" s="514">
        <f t="shared" si="1"/>
        <v>147.37506172551147</v>
      </c>
      <c r="E18" s="514">
        <f t="shared" si="2"/>
        <v>275.49644557256295</v>
      </c>
      <c r="F18" s="514">
        <f t="shared" si="3"/>
        <v>9.2235902168824602</v>
      </c>
    </row>
    <row r="19" spans="2:6">
      <c r="B19" s="92">
        <f t="shared" si="4"/>
        <v>110</v>
      </c>
      <c r="C19" s="514">
        <f t="shared" si="0"/>
        <v>545.64667437632147</v>
      </c>
      <c r="D19" s="514">
        <f t="shared" si="1"/>
        <v>149.79003567972399</v>
      </c>
      <c r="E19" s="514">
        <f t="shared" si="2"/>
        <v>298.61269976873064</v>
      </c>
      <c r="F19" s="514">
        <f t="shared" si="3"/>
        <v>9.6850934387275398</v>
      </c>
    </row>
    <row r="20" spans="2:6">
      <c r="B20" s="92">
        <f t="shared" si="4"/>
        <v>120</v>
      </c>
      <c r="C20" s="514">
        <f t="shared" si="0"/>
        <v>594.12923764294305</v>
      </c>
      <c r="D20" s="514">
        <f t="shared" si="1"/>
        <v>151.87380338357451</v>
      </c>
      <c r="E20" s="514">
        <f t="shared" si="2"/>
        <v>318.03980730511375</v>
      </c>
      <c r="F20" s="514">
        <f t="shared" si="3"/>
        <v>10.101280780449189</v>
      </c>
    </row>
    <row r="21" spans="2:6">
      <c r="B21" s="92">
        <f t="shared" si="4"/>
        <v>130</v>
      </c>
      <c r="C21" s="514">
        <f t="shared" si="0"/>
        <v>638.01743924760081</v>
      </c>
      <c r="D21" s="514">
        <f>[9]!lambda_alu(B21)</f>
        <v>153.75827555641519</v>
      </c>
      <c r="E21" s="514">
        <f t="shared" si="2"/>
        <v>334.61929881399294</v>
      </c>
      <c r="F21" s="514">
        <f t="shared" si="3"/>
        <v>10.481793759190291</v>
      </c>
    </row>
    <row r="22" spans="2:6">
      <c r="B22" s="92">
        <f t="shared" si="4"/>
        <v>140</v>
      </c>
      <c r="C22" s="514">
        <f t="shared" si="0"/>
        <v>677.58401546243044</v>
      </c>
      <c r="D22" s="514">
        <f t="shared" si="1"/>
        <v>155.52826593416478</v>
      </c>
      <c r="E22" s="514">
        <f t="shared" si="2"/>
        <v>349.10088776384418</v>
      </c>
      <c r="F22" s="514">
        <f t="shared" si="3"/>
        <v>10.834362422317151</v>
      </c>
    </row>
    <row r="23" spans="2:6">
      <c r="B23" s="92">
        <f t="shared" si="4"/>
        <v>150</v>
      </c>
      <c r="C23" s="514">
        <f t="shared" si="0"/>
        <v>713.03136021584783</v>
      </c>
      <c r="D23" s="514">
        <f t="shared" si="1"/>
        <v>157.23646202954646</v>
      </c>
      <c r="E23" s="514">
        <f t="shared" si="2"/>
        <v>362.09309750248116</v>
      </c>
      <c r="F23" s="514">
        <f t="shared" si="3"/>
        <v>11.165154358588293</v>
      </c>
    </row>
    <row r="24" spans="2:6">
      <c r="B24" s="92">
        <f t="shared" si="4"/>
        <v>160</v>
      </c>
      <c r="C24" s="514">
        <f t="shared" si="0"/>
        <v>744.53196088583024</v>
      </c>
      <c r="D24" s="514">
        <f t="shared" si="1"/>
        <v>158.91356097510405</v>
      </c>
      <c r="E24" s="514">
        <f t="shared" si="2"/>
        <v>374.05589081992309</v>
      </c>
      <c r="F24" s="514">
        <f t="shared" si="3"/>
        <v>11.479075597444288</v>
      </c>
    </row>
    <row r="25" spans="2:6">
      <c r="B25" s="92">
        <f t="shared" si="4"/>
        <v>170</v>
      </c>
      <c r="C25" s="514">
        <f t="shared" si="0"/>
        <v>772.26487898012533</v>
      </c>
      <c r="D25" s="514">
        <f t="shared" si="1"/>
        <v>160.57515175171525</v>
      </c>
      <c r="E25" s="514">
        <f t="shared" si="2"/>
        <v>385.31265066094369</v>
      </c>
      <c r="F25" s="514">
        <f t="shared" si="3"/>
        <v>11.780019664476221</v>
      </c>
    </row>
    <row r="26" spans="2:6">
      <c r="B26" s="92">
        <f t="shared" si="4"/>
        <v>180</v>
      </c>
      <c r="C26" s="514">
        <f t="shared" si="0"/>
        <v>796.44262254368471</v>
      </c>
      <c r="D26" s="514">
        <f t="shared" si="1"/>
        <v>162.22641598858928</v>
      </c>
      <c r="E26" s="514">
        <f t="shared" si="2"/>
        <v>396.06896663146341</v>
      </c>
      <c r="F26" s="514">
        <f t="shared" si="3"/>
        <v>12.071069226162054</v>
      </c>
    </row>
    <row r="27" spans="2:6">
      <c r="B27" s="92">
        <f t="shared" si="4"/>
        <v>190</v>
      </c>
      <c r="C27" s="514">
        <f t="shared" si="0"/>
        <v>817.32754369459815</v>
      </c>
      <c r="D27" s="514">
        <f t="shared" si="1"/>
        <v>163.86536472372504</v>
      </c>
      <c r="E27" s="514">
        <f t="shared" si="2"/>
        <v>406.43208623489755</v>
      </c>
      <c r="F27" s="514">
        <f t="shared" si="3"/>
        <v>12.354657383429226</v>
      </c>
    </row>
    <row r="28" spans="2:6">
      <c r="B28" s="92">
        <f t="shared" si="4"/>
        <v>200</v>
      </c>
      <c r="C28" s="514">
        <f t="shared" si="0"/>
        <v>835.23901973911597</v>
      </c>
      <c r="D28" s="514">
        <f t="shared" si="1"/>
        <v>165.48508909070065</v>
      </c>
      <c r="E28" s="514">
        <f t="shared" si="2"/>
        <v>416.42851482343201</v>
      </c>
      <c r="F28" s="514">
        <f t="shared" si="3"/>
        <v>12.632695877045741</v>
      </c>
    </row>
    <row r="29" spans="2:6">
      <c r="B29" s="92">
        <f t="shared" si="4"/>
        <v>210</v>
      </c>
      <c r="C29" s="514">
        <f t="shared" si="0"/>
        <v>850.55351123608943</v>
      </c>
      <c r="D29" s="514">
        <f t="shared" si="1"/>
        <v>167.07534355428891</v>
      </c>
      <c r="E29" s="514">
        <f t="shared" si="2"/>
        <v>426.01911532110501</v>
      </c>
      <c r="F29" s="514">
        <f t="shared" si="3"/>
        <v>12.906676716691376</v>
      </c>
    </row>
    <row r="30" spans="2:6">
      <c r="B30" s="92">
        <f t="shared" si="4"/>
        <v>220</v>
      </c>
      <c r="C30" s="514">
        <f t="shared" si="0"/>
        <v>863.69978279163593</v>
      </c>
      <c r="D30" s="514">
        <f t="shared" si="1"/>
        <v>168.62367475262968</v>
      </c>
      <c r="E30" s="514">
        <f t="shared" si="2"/>
        <v>435.11191731312556</v>
      </c>
      <c r="F30" s="514">
        <f t="shared" si="3"/>
        <v>13.177752713172326</v>
      </c>
    </row>
    <row r="31" spans="2:6">
      <c r="B31" s="92">
        <f t="shared" si="4"/>
        <v>230</v>
      </c>
      <c r="C31" s="514">
        <f t="shared" si="0"/>
        <v>875.15143878215747</v>
      </c>
      <c r="D31" s="514">
        <f t="shared" si="1"/>
        <v>170.11623901973323</v>
      </c>
      <c r="E31" s="514">
        <f t="shared" si="2"/>
        <v>443.57316432322671</v>
      </c>
      <c r="F31" s="514">
        <f t="shared" si="3"/>
        <v>13.446801371271205</v>
      </c>
    </row>
    <row r="32" spans="2:6">
      <c r="B32" s="92">
        <f t="shared" si="4"/>
        <v>240</v>
      </c>
      <c r="C32" s="514">
        <f t="shared" si="0"/>
        <v>885.41862962590744</v>
      </c>
      <c r="D32" s="514">
        <f t="shared" si="1"/>
        <v>171.53840510437178</v>
      </c>
      <c r="E32" s="514">
        <f t="shared" si="2"/>
        <v>451.23717715596348</v>
      </c>
      <c r="F32" s="514">
        <f t="shared" si="3"/>
        <v>13.714475700557156</v>
      </c>
    </row>
    <row r="33" spans="2:7">
      <c r="B33" s="92">
        <f t="shared" si="4"/>
        <v>250</v>
      </c>
      <c r="C33" s="514">
        <f t="shared" si="0"/>
        <v>895.04042440262185</v>
      </c>
      <c r="D33" s="514">
        <f t="shared" si="1"/>
        <v>172.8752074655801</v>
      </c>
      <c r="E33" s="514">
        <f t="shared" si="2"/>
        <v>457.91553453079962</v>
      </c>
      <c r="F33" s="514">
        <f t="shared" si="3"/>
        <v>13.981244752061995</v>
      </c>
    </row>
    <row r="34" spans="2:7">
      <c r="B34" s="92">
        <f t="shared" si="4"/>
        <v>260</v>
      </c>
      <c r="C34" s="514">
        <f t="shared" si="0"/>
        <v>904.57898388321598</v>
      </c>
      <c r="D34" s="514">
        <f t="shared" si="1"/>
        <v>174.11169458226732</v>
      </c>
      <c r="E34" s="514">
        <f t="shared" si="2"/>
        <v>463.40594396905237</v>
      </c>
      <c r="F34" s="514">
        <f t="shared" si="3"/>
        <v>14.247426083715153</v>
      </c>
    </row>
    <row r="35" spans="2:7">
      <c r="B35" s="92">
        <f t="shared" si="4"/>
        <v>270</v>
      </c>
      <c r="C35" s="514">
        <f t="shared" si="0"/>
        <v>914.61634758171442</v>
      </c>
      <c r="D35" s="514">
        <f t="shared" si="1"/>
        <v>175.23320253796408</v>
      </c>
      <c r="E35" s="514">
        <f t="shared" si="2"/>
        <v>467.5010324641118</v>
      </c>
      <c r="F35" s="514">
        <f t="shared" si="3"/>
        <v>14.513211877627656</v>
      </c>
    </row>
    <row r="36" spans="2:7">
      <c r="B36" s="92">
        <f t="shared" si="4"/>
        <v>280</v>
      </c>
      <c r="C36" s="514">
        <f t="shared" si="0"/>
        <v>925.75439689746986</v>
      </c>
      <c r="D36" s="514">
        <f t="shared" si="1"/>
        <v>176.22557449314709</v>
      </c>
      <c r="E36" s="514">
        <f t="shared" si="2"/>
        <v>469.99714561372195</v>
      </c>
      <c r="F36" s="514">
        <f t="shared" si="3"/>
        <v>14.77869005569146</v>
      </c>
    </row>
    <row r="37" spans="2:7">
      <c r="B37" s="92">
        <f t="shared" si="4"/>
        <v>290</v>
      </c>
      <c r="C37" s="514">
        <f t="shared" si="0"/>
        <v>938.61838669760436</v>
      </c>
      <c r="D37" s="514">
        <f t="shared" si="1"/>
        <v>177.07534005564742</v>
      </c>
      <c r="E37" s="514">
        <f t="shared" si="2"/>
        <v>470.70311482097804</v>
      </c>
      <c r="F37" s="514">
        <f t="shared" si="3"/>
        <v>15.043861446064593</v>
      </c>
      <c r="G37" s="91">
        <f>30*E37*(300-4)/1000/20/125</f>
        <v>1.6719374638441138</v>
      </c>
    </row>
    <row r="38" spans="2:7">
      <c r="B38" s="92">
        <f t="shared" si="4"/>
        <v>300</v>
      </c>
      <c r="C38" s="514">
        <f t="shared" si="0"/>
        <v>953.86436010039381</v>
      </c>
      <c r="D38" s="514">
        <f t="shared" si="1"/>
        <v>177.76986402788779</v>
      </c>
      <c r="E38" s="514">
        <f t="shared" si="2"/>
        <v>469.44884067402404</v>
      </c>
      <c r="F38" s="514">
        <f t="shared" si="3"/>
        <v>15.308653824348747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Feuil18"/>
  <dimension ref="B6:E70"/>
  <sheetViews>
    <sheetView view="pageBreakPreview" zoomScale="115" zoomScaleNormal="100" workbookViewId="0">
      <selection activeCell="B6" sqref="B6:E7"/>
    </sheetView>
  </sheetViews>
  <sheetFormatPr defaultColWidth="11.42578125" defaultRowHeight="12.75"/>
  <cols>
    <col min="1" max="2" width="11.42578125" style="91" customWidth="1"/>
    <col min="3" max="3" width="12.42578125" style="91" bestFit="1" customWidth="1"/>
    <col min="4" max="16384" width="11.42578125" style="91"/>
  </cols>
  <sheetData>
    <row r="6" spans="2:5">
      <c r="B6" s="134" t="s">
        <v>240</v>
      </c>
      <c r="C6" s="134" t="s">
        <v>241</v>
      </c>
      <c r="D6" s="134" t="s">
        <v>242</v>
      </c>
      <c r="E6" s="134" t="s">
        <v>518</v>
      </c>
    </row>
    <row r="7" spans="2:5">
      <c r="B7" s="133" t="s">
        <v>84</v>
      </c>
      <c r="C7" s="133" t="s">
        <v>96</v>
      </c>
      <c r="D7" s="133" t="s">
        <v>82</v>
      </c>
      <c r="E7" s="133"/>
    </row>
    <row r="8" spans="2:5">
      <c r="B8" s="167">
        <v>10.5</v>
      </c>
      <c r="C8" s="167">
        <v>314</v>
      </c>
      <c r="D8" s="135">
        <f>[9]!Rho_(11,B8,C8)</f>
        <v>1.6025138813107969</v>
      </c>
      <c r="E8" s="135">
        <f t="shared" ref="E8:E22" si="0">[9]!cp_(11,B8,C8)</f>
        <v>5.1922274539723974</v>
      </c>
    </row>
    <row r="9" spans="2:5">
      <c r="B9" s="167">
        <v>10.5</v>
      </c>
      <c r="C9" s="167">
        <f>C8-1</f>
        <v>313</v>
      </c>
      <c r="D9" s="135">
        <f>[9]!Rho_(11,B9,C9)</f>
        <v>1.6076072293781971</v>
      </c>
      <c r="E9" s="135">
        <f t="shared" si="0"/>
        <v>5.1922305667826079</v>
      </c>
    </row>
    <row r="10" spans="2:5">
      <c r="B10" s="167">
        <v>10.5</v>
      </c>
      <c r="C10" s="167">
        <f>C9-1</f>
        <v>312</v>
      </c>
      <c r="D10" s="135">
        <f>[9]!Rho_(11,B10,C10)</f>
        <v>1.6127330511030145</v>
      </c>
      <c r="E10" s="135">
        <f t="shared" si="0"/>
        <v>5.1922337491950135</v>
      </c>
    </row>
    <row r="11" spans="2:5">
      <c r="B11" s="167">
        <v>10.5</v>
      </c>
      <c r="C11" s="167">
        <f t="shared" ref="C11:C19" si="1">C10-1</f>
        <v>311</v>
      </c>
      <c r="D11" s="135">
        <f>[9]!Rho_(11,B11,C11)</f>
        <v>1.6178916580476554</v>
      </c>
      <c r="E11" s="135">
        <f t="shared" si="0"/>
        <v>5.1922370024129556</v>
      </c>
    </row>
    <row r="12" spans="2:5">
      <c r="B12" s="167">
        <v>10.5</v>
      </c>
      <c r="C12" s="167">
        <f t="shared" si="1"/>
        <v>310</v>
      </c>
      <c r="D12" s="135">
        <f>[9]!Rho_(11,B12,C12)</f>
        <v>1.6230833657735702</v>
      </c>
      <c r="E12" s="135">
        <f t="shared" si="0"/>
        <v>5.1922403276625051</v>
      </c>
    </row>
    <row r="13" spans="2:5">
      <c r="B13" s="167">
        <v>10.5</v>
      </c>
      <c r="C13" s="167">
        <f t="shared" si="1"/>
        <v>309</v>
      </c>
      <c r="D13" s="135">
        <f>[9]!Rho_(11,B13,C13)</f>
        <v>1.6283084939056371</v>
      </c>
      <c r="E13" s="135">
        <f t="shared" si="0"/>
        <v>5.1922437261929542</v>
      </c>
    </row>
    <row r="14" spans="2:5">
      <c r="B14" s="167">
        <v>10.5</v>
      </c>
      <c r="C14" s="167">
        <f t="shared" si="1"/>
        <v>308</v>
      </c>
      <c r="D14" s="135">
        <f>[9]!Rho_(11,B14,C14)</f>
        <v>1.6335673661977945</v>
      </c>
      <c r="E14" s="135">
        <f t="shared" si="0"/>
        <v>5.1922471992773174</v>
      </c>
    </row>
    <row r="15" spans="2:5">
      <c r="B15" s="167">
        <v>10.5</v>
      </c>
      <c r="C15" s="167">
        <f t="shared" si="1"/>
        <v>307</v>
      </c>
      <c r="D15" s="135">
        <f>[9]!Rho_(11,B15,C15)</f>
        <v>1.6388603105999506</v>
      </c>
      <c r="E15" s="135">
        <f t="shared" si="0"/>
        <v>5.1922507482128353</v>
      </c>
    </row>
    <row r="16" spans="2:5">
      <c r="B16" s="167">
        <v>10.5</v>
      </c>
      <c r="C16" s="167">
        <f t="shared" si="1"/>
        <v>306</v>
      </c>
      <c r="D16" s="135">
        <f>[9]!Rho_(11,B16,C16)</f>
        <v>1.644187659326199</v>
      </c>
      <c r="E16" s="135">
        <f t="shared" si="0"/>
        <v>5.1922543743215082</v>
      </c>
    </row>
    <row r="17" spans="2:5">
      <c r="B17" s="167">
        <v>10.5</v>
      </c>
      <c r="C17" s="167">
        <f t="shared" si="1"/>
        <v>305</v>
      </c>
      <c r="D17" s="135">
        <f>[9]!Rho_(11,B17,C17)</f>
        <v>1.6495497489243702</v>
      </c>
      <c r="E17" s="135">
        <f t="shared" si="0"/>
        <v>5.1922580789506263</v>
      </c>
    </row>
    <row r="18" spans="2:5">
      <c r="B18" s="167">
        <v>10.5</v>
      </c>
      <c r="C18" s="167">
        <f t="shared" si="1"/>
        <v>304</v>
      </c>
      <c r="D18" s="135">
        <f>[9]!Rho_(11,B18,C18)</f>
        <v>1.6549469203469473</v>
      </c>
      <c r="E18" s="135">
        <f t="shared" si="0"/>
        <v>5.1922618634733206</v>
      </c>
    </row>
    <row r="19" spans="2:5">
      <c r="B19" s="167">
        <v>10.5</v>
      </c>
      <c r="C19" s="167">
        <f t="shared" si="1"/>
        <v>303</v>
      </c>
      <c r="D19" s="135">
        <f>[9]!Rho_(11,B19,C19)</f>
        <v>1.6603795190233817</v>
      </c>
      <c r="E19" s="135">
        <f t="shared" si="0"/>
        <v>5.1922657292891268</v>
      </c>
    </row>
    <row r="20" spans="2:5">
      <c r="B20" s="167">
        <v>10.5</v>
      </c>
      <c r="C20" s="167">
        <f>C19-1</f>
        <v>302</v>
      </c>
      <c r="D20" s="135">
        <f>[9]!Rho_(11,B20,C20)</f>
        <v>1.6658478949338373</v>
      </c>
      <c r="E20" s="135">
        <f t="shared" si="0"/>
        <v>5.1922696778245632</v>
      </c>
    </row>
    <row r="21" spans="2:5">
      <c r="B21" s="167">
        <v>10.5</v>
      </c>
      <c r="C21" s="167">
        <f>C20-1</f>
        <v>301</v>
      </c>
      <c r="D21" s="135">
        <f>[9]!Rho_(11,B21,C21)</f>
        <v>1.6713524026843987</v>
      </c>
      <c r="E21" s="135">
        <f t="shared" si="0"/>
        <v>5.1922737105337209</v>
      </c>
    </row>
    <row r="22" spans="2:5">
      <c r="B22" s="167">
        <v>10.5</v>
      </c>
      <c r="C22" s="167">
        <f>C21-1</f>
        <v>300</v>
      </c>
      <c r="D22" s="135">
        <f>[9]!Rho_(11,B22,C22)</f>
        <v>1.6768934015837749</v>
      </c>
      <c r="E22" s="135">
        <f t="shared" si="0"/>
        <v>5.1922778288988667</v>
      </c>
    </row>
    <row r="23" spans="2:5">
      <c r="B23" s="167"/>
      <c r="C23" s="167"/>
      <c r="D23" s="135"/>
      <c r="E23" s="135"/>
    </row>
    <row r="24" spans="2:5">
      <c r="B24" s="167"/>
      <c r="C24" s="167"/>
      <c r="D24" s="135"/>
      <c r="E24" s="135"/>
    </row>
    <row r="25" spans="2:5">
      <c r="B25" s="167"/>
      <c r="C25" s="167"/>
      <c r="D25" s="135"/>
      <c r="E25" s="135"/>
    </row>
    <row r="26" spans="2:5">
      <c r="B26" s="167"/>
      <c r="C26" s="167"/>
      <c r="D26" s="135"/>
      <c r="E26" s="135"/>
    </row>
    <row r="27" spans="2:5">
      <c r="B27" s="167"/>
      <c r="C27" s="167"/>
      <c r="D27" s="135"/>
      <c r="E27" s="135"/>
    </row>
    <row r="28" spans="2:5">
      <c r="B28" s="167"/>
      <c r="C28" s="167"/>
      <c r="D28" s="135"/>
      <c r="E28" s="135"/>
    </row>
    <row r="29" spans="2:5">
      <c r="B29" s="167"/>
      <c r="C29" s="167"/>
      <c r="D29" s="135"/>
      <c r="E29" s="135"/>
    </row>
    <row r="30" spans="2:5">
      <c r="B30" s="167"/>
      <c r="C30" s="167"/>
      <c r="D30" s="135"/>
      <c r="E30" s="135"/>
    </row>
    <row r="31" spans="2:5">
      <c r="B31" s="167"/>
      <c r="C31" s="167"/>
      <c r="D31" s="135"/>
      <c r="E31" s="135"/>
    </row>
    <row r="32" spans="2:5">
      <c r="B32" s="167"/>
      <c r="C32" s="167"/>
      <c r="D32" s="135"/>
      <c r="E32" s="135"/>
    </row>
    <row r="33" spans="2:5">
      <c r="B33" s="167"/>
      <c r="C33" s="167"/>
      <c r="D33" s="135"/>
      <c r="E33" s="135"/>
    </row>
    <row r="34" spans="2:5">
      <c r="B34" s="167"/>
      <c r="C34" s="167"/>
      <c r="D34" s="135"/>
      <c r="E34" s="135"/>
    </row>
    <row r="35" spans="2:5">
      <c r="B35" s="167"/>
      <c r="C35" s="167"/>
      <c r="D35" s="135"/>
      <c r="E35" s="135"/>
    </row>
    <row r="36" spans="2:5">
      <c r="B36" s="167"/>
      <c r="C36" s="167"/>
      <c r="D36" s="135"/>
      <c r="E36" s="135"/>
    </row>
    <row r="37" spans="2:5">
      <c r="B37" s="167"/>
      <c r="C37" s="167"/>
      <c r="D37" s="135"/>
      <c r="E37" s="135"/>
    </row>
    <row r="38" spans="2:5">
      <c r="B38" s="167"/>
      <c r="C38" s="167"/>
      <c r="D38" s="135"/>
      <c r="E38" s="135"/>
    </row>
    <row r="39" spans="2:5">
      <c r="B39" s="167"/>
      <c r="C39" s="167"/>
      <c r="D39" s="135"/>
      <c r="E39" s="135"/>
    </row>
    <row r="40" spans="2:5">
      <c r="B40" s="167"/>
      <c r="C40" s="167"/>
      <c r="D40" s="135"/>
      <c r="E40" s="135"/>
    </row>
    <row r="41" spans="2:5">
      <c r="B41" s="167"/>
      <c r="C41" s="167"/>
      <c r="D41" s="135"/>
      <c r="E41" s="135"/>
    </row>
    <row r="42" spans="2:5">
      <c r="B42" s="167"/>
      <c r="C42" s="167"/>
      <c r="D42" s="135"/>
      <c r="E42" s="135"/>
    </row>
    <row r="43" spans="2:5">
      <c r="B43" s="167"/>
      <c r="C43" s="167"/>
      <c r="D43" s="135"/>
      <c r="E43" s="135"/>
    </row>
    <row r="44" spans="2:5">
      <c r="B44" s="167"/>
      <c r="C44" s="167"/>
      <c r="D44" s="135"/>
      <c r="E44" s="135"/>
    </row>
    <row r="45" spans="2:5">
      <c r="B45" s="167"/>
      <c r="C45" s="167"/>
      <c r="D45" s="135"/>
      <c r="E45" s="135"/>
    </row>
    <row r="46" spans="2:5">
      <c r="B46" s="167"/>
      <c r="C46" s="167"/>
      <c r="D46" s="135"/>
      <c r="E46" s="135"/>
    </row>
    <row r="47" spans="2:5">
      <c r="B47" s="167"/>
      <c r="C47" s="167"/>
      <c r="D47" s="135"/>
      <c r="E47" s="135"/>
    </row>
    <row r="48" spans="2:5">
      <c r="B48" s="167"/>
      <c r="C48" s="167"/>
      <c r="D48" s="135"/>
      <c r="E48" s="135"/>
    </row>
    <row r="49" spans="2:5">
      <c r="B49" s="167"/>
      <c r="C49" s="167"/>
      <c r="D49" s="135"/>
      <c r="E49" s="135"/>
    </row>
    <row r="50" spans="2:5">
      <c r="B50" s="167"/>
      <c r="C50" s="167"/>
      <c r="D50" s="135"/>
      <c r="E50" s="135"/>
    </row>
    <row r="51" spans="2:5">
      <c r="B51" s="167"/>
      <c r="C51" s="167"/>
      <c r="D51" s="135"/>
      <c r="E51" s="135"/>
    </row>
    <row r="52" spans="2:5">
      <c r="B52" s="167"/>
      <c r="C52" s="167"/>
      <c r="D52" s="135"/>
      <c r="E52" s="135"/>
    </row>
    <row r="53" spans="2:5">
      <c r="B53" s="167"/>
      <c r="C53" s="167"/>
      <c r="D53" s="135"/>
      <c r="E53" s="135"/>
    </row>
    <row r="54" spans="2:5">
      <c r="B54" s="167"/>
      <c r="C54" s="167"/>
      <c r="D54" s="135"/>
      <c r="E54" s="135"/>
    </row>
    <row r="55" spans="2:5">
      <c r="B55" s="167"/>
      <c r="C55" s="167"/>
      <c r="D55" s="135"/>
      <c r="E55" s="135"/>
    </row>
    <row r="56" spans="2:5">
      <c r="B56" s="167"/>
      <c r="C56" s="167"/>
      <c r="D56" s="135"/>
      <c r="E56" s="135"/>
    </row>
    <row r="57" spans="2:5">
      <c r="B57" s="167"/>
      <c r="C57" s="167"/>
      <c r="D57" s="135"/>
      <c r="E57" s="135"/>
    </row>
    <row r="58" spans="2:5">
      <c r="B58" s="167"/>
      <c r="C58" s="167"/>
      <c r="D58" s="135"/>
      <c r="E58" s="135"/>
    </row>
    <row r="59" spans="2:5">
      <c r="B59" s="167"/>
      <c r="C59" s="167"/>
      <c r="D59" s="135"/>
      <c r="E59" s="135"/>
    </row>
    <row r="60" spans="2:5">
      <c r="B60" s="167"/>
      <c r="C60" s="167"/>
      <c r="D60" s="135"/>
      <c r="E60" s="135"/>
    </row>
    <row r="61" spans="2:5">
      <c r="B61" s="167"/>
      <c r="C61" s="167"/>
      <c r="D61" s="135"/>
      <c r="E61" s="135"/>
    </row>
    <row r="62" spans="2:5">
      <c r="B62" s="167"/>
      <c r="C62" s="167"/>
      <c r="D62" s="135"/>
      <c r="E62" s="135"/>
    </row>
    <row r="63" spans="2:5">
      <c r="B63" s="167"/>
      <c r="C63" s="167"/>
      <c r="D63" s="135"/>
      <c r="E63" s="135"/>
    </row>
    <row r="64" spans="2:5">
      <c r="B64" s="167"/>
      <c r="C64" s="167"/>
      <c r="D64" s="135"/>
      <c r="E64" s="135"/>
    </row>
    <row r="65" spans="2:5">
      <c r="B65" s="167"/>
      <c r="C65" s="167"/>
      <c r="D65" s="135"/>
      <c r="E65" s="135"/>
    </row>
    <row r="66" spans="2:5">
      <c r="B66" s="167"/>
      <c r="C66" s="167"/>
      <c r="D66" s="135"/>
      <c r="E66" s="135"/>
    </row>
    <row r="67" spans="2:5">
      <c r="B67" s="167"/>
      <c r="C67" s="167"/>
      <c r="D67" s="135"/>
      <c r="E67" s="135"/>
    </row>
    <row r="68" spans="2:5">
      <c r="B68" s="167"/>
      <c r="C68" s="167"/>
      <c r="D68" s="135"/>
      <c r="E68" s="135"/>
    </row>
    <row r="69" spans="2:5">
      <c r="B69" s="167"/>
      <c r="C69" s="167"/>
      <c r="D69" s="135"/>
      <c r="E69" s="135"/>
    </row>
    <row r="70" spans="2:5">
      <c r="B70" s="167"/>
      <c r="C70" s="167"/>
      <c r="D70" s="135"/>
      <c r="E70" s="135"/>
    </row>
  </sheetData>
  <phoneticPr fontId="12" type="noConversion"/>
  <pageMargins left="0.42" right="0.59" top="0.52" bottom="1" header="0.4921259845" footer="0.4921259845"/>
  <pageSetup paperSize="9" scale="8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Feuil14">
    <pageSetUpPr fitToPage="1"/>
  </sheetPr>
  <dimension ref="B2:K82"/>
  <sheetViews>
    <sheetView topLeftCell="A37" zoomScaleNormal="115" zoomScaleSheetLayoutView="100" workbookViewId="0">
      <selection activeCell="B46" sqref="B46"/>
    </sheetView>
  </sheetViews>
  <sheetFormatPr defaultColWidth="11.42578125" defaultRowHeight="12.75"/>
  <cols>
    <col min="1" max="5" width="11.42578125" style="91" customWidth="1"/>
    <col min="6" max="6" width="14.140625" style="91" customWidth="1"/>
    <col min="7" max="16384" width="11.42578125" style="91"/>
  </cols>
  <sheetData>
    <row r="2" spans="2:11">
      <c r="B2" s="89" t="s">
        <v>954</v>
      </c>
      <c r="C2" s="89"/>
      <c r="D2" s="89"/>
      <c r="E2" s="89"/>
      <c r="F2" s="89"/>
      <c r="G2" s="89"/>
      <c r="H2" s="89"/>
      <c r="I2" s="89"/>
      <c r="J2" s="89"/>
      <c r="K2" s="90"/>
    </row>
    <row r="3" spans="2:11">
      <c r="B3" s="91" t="s">
        <v>642</v>
      </c>
    </row>
    <row r="5" spans="2:11">
      <c r="B5" s="91" t="s">
        <v>951</v>
      </c>
      <c r="E5" s="1115">
        <v>200</v>
      </c>
    </row>
    <row r="9" spans="2:11" ht="25.5">
      <c r="C9" s="1107" t="s">
        <v>780</v>
      </c>
      <c r="D9" s="1107" t="s">
        <v>783</v>
      </c>
      <c r="E9" s="1108" t="s">
        <v>943</v>
      </c>
      <c r="F9" s="1107" t="s">
        <v>944</v>
      </c>
    </row>
    <row r="10" spans="2:11">
      <c r="B10" s="91" t="s">
        <v>953</v>
      </c>
      <c r="C10" s="1109">
        <v>100</v>
      </c>
      <c r="D10" s="1109">
        <v>108.2</v>
      </c>
      <c r="E10" s="1109">
        <v>45</v>
      </c>
      <c r="F10" s="1110">
        <f>PI()*(D10/1000)^2/4*E10*1000</f>
        <v>413.76801575039138</v>
      </c>
    </row>
    <row r="11" spans="2:11">
      <c r="B11" s="91" t="s">
        <v>953</v>
      </c>
      <c r="C11" s="1109">
        <v>40</v>
      </c>
      <c r="D11" s="1109">
        <v>42.7</v>
      </c>
      <c r="E11" s="1109">
        <v>45</v>
      </c>
      <c r="F11" s="1110">
        <f>PI()*(D11/1000)^2/4*E11*1000</f>
        <v>64.440387780342022</v>
      </c>
    </row>
    <row r="13" spans="2:11" ht="13.5" thickBot="1">
      <c r="B13" s="232" t="s">
        <v>950</v>
      </c>
      <c r="C13" s="232"/>
      <c r="D13" s="232"/>
      <c r="E13" s="232"/>
      <c r="F13" s="232"/>
      <c r="G13" s="232"/>
      <c r="H13" s="232"/>
    </row>
    <row r="16" spans="2:11">
      <c r="B16" s="95"/>
    </row>
    <row r="17" spans="2:5">
      <c r="B17" s="1111" t="s">
        <v>945</v>
      </c>
      <c r="C17" s="1112" t="s">
        <v>676</v>
      </c>
      <c r="D17" s="1112" t="s">
        <v>952</v>
      </c>
      <c r="E17" s="1112" t="s">
        <v>946</v>
      </c>
    </row>
    <row r="18" spans="2:5">
      <c r="B18" s="1113" t="s">
        <v>947</v>
      </c>
      <c r="C18" s="1114">
        <f>0.275</f>
        <v>0.27500000000000002</v>
      </c>
      <c r="D18" s="1114">
        <v>1.1000000000000001</v>
      </c>
      <c r="E18" s="1115">
        <f>PI()*C18^2/4*1000*D18</f>
        <v>65.335309717625236</v>
      </c>
    </row>
    <row r="19" spans="2:5">
      <c r="B19" s="1113" t="s">
        <v>948</v>
      </c>
      <c r="C19" s="1114">
        <f>0.275</f>
        <v>0.27500000000000002</v>
      </c>
      <c r="D19" s="1114">
        <v>1.1000000000000001</v>
      </c>
      <c r="E19" s="1115">
        <f>PI()*C19^2/4*1000*D19</f>
        <v>65.335309717625236</v>
      </c>
    </row>
    <row r="20" spans="2:5">
      <c r="B20" s="1113" t="s">
        <v>949</v>
      </c>
      <c r="C20" s="1114">
        <v>0.5</v>
      </c>
      <c r="D20" s="1114">
        <v>2.52</v>
      </c>
      <c r="E20" s="1115">
        <f>PI()*C20^2/4*1000*D20</f>
        <v>494.80084294039239</v>
      </c>
    </row>
    <row r="21" spans="2:5">
      <c r="B21" s="1116"/>
      <c r="C21" s="1116"/>
      <c r="D21" s="1116"/>
      <c r="E21" s="1118">
        <f>SUM(E18:E20)</f>
        <v>625.47146237564289</v>
      </c>
    </row>
    <row r="22" spans="2:5">
      <c r="B22" s="1116"/>
      <c r="C22" s="1116"/>
      <c r="D22" s="1116"/>
      <c r="E22" s="1116"/>
    </row>
    <row r="23" spans="2:5">
      <c r="B23" s="1116"/>
      <c r="C23" s="1116"/>
      <c r="D23" s="1117"/>
    </row>
    <row r="24" spans="2:5">
      <c r="B24" s="1119"/>
      <c r="C24" s="1119"/>
      <c r="D24" s="1119"/>
      <c r="E24" s="1119"/>
    </row>
    <row r="43" spans="2:2">
      <c r="B43" s="91" t="s">
        <v>955</v>
      </c>
    </row>
    <row r="44" spans="2:2">
      <c r="B44" s="91" t="s">
        <v>956</v>
      </c>
    </row>
    <row r="45" spans="2:2">
      <c r="B45" s="91" t="s">
        <v>957</v>
      </c>
    </row>
    <row r="54" spans="2:11">
      <c r="B54" s="89" t="s">
        <v>446</v>
      </c>
      <c r="C54" s="89"/>
      <c r="D54" s="89"/>
      <c r="E54" s="89"/>
      <c r="F54" s="89"/>
      <c r="G54" s="89"/>
      <c r="H54" s="89"/>
      <c r="I54" s="89"/>
      <c r="J54" s="89"/>
      <c r="K54" s="90"/>
    </row>
    <row r="56" spans="2:11">
      <c r="B56" s="329" t="s">
        <v>439</v>
      </c>
      <c r="C56" s="330"/>
      <c r="D56" s="182"/>
      <c r="E56" s="182"/>
      <c r="F56" s="182"/>
      <c r="G56" s="182"/>
    </row>
    <row r="57" spans="2:11">
      <c r="B57" s="95" t="s">
        <v>437</v>
      </c>
    </row>
    <row r="58" spans="2:11">
      <c r="B58" s="91" t="s">
        <v>436</v>
      </c>
    </row>
    <row r="60" spans="2:11">
      <c r="B60" s="91" t="s">
        <v>438</v>
      </c>
      <c r="D60" s="91">
        <v>130</v>
      </c>
      <c r="E60" s="91" t="s">
        <v>424</v>
      </c>
    </row>
    <row r="61" spans="2:11">
      <c r="D61" s="91">
        <v>120</v>
      </c>
      <c r="E61" s="91" t="s">
        <v>82</v>
      </c>
    </row>
    <row r="62" spans="2:11">
      <c r="B62" s="91" t="s">
        <v>444</v>
      </c>
      <c r="C62" s="168"/>
      <c r="D62" s="168">
        <f>D60/1000*D61/3.6</f>
        <v>4.3333333333333339</v>
      </c>
      <c r="E62" s="91" t="s">
        <v>86</v>
      </c>
    </row>
    <row r="64" spans="2:11">
      <c r="B64" s="329" t="s">
        <v>440</v>
      </c>
      <c r="C64" s="330"/>
      <c r="D64" s="182"/>
      <c r="E64" s="182"/>
      <c r="F64" s="182"/>
      <c r="G64" s="182"/>
    </row>
    <row r="65" spans="2:7">
      <c r="B65" s="95" t="s">
        <v>441</v>
      </c>
    </row>
    <row r="66" spans="2:7">
      <c r="B66" s="91" t="s">
        <v>706</v>
      </c>
    </row>
    <row r="68" spans="2:7">
      <c r="B68" s="91" t="s">
        <v>442</v>
      </c>
      <c r="D68" s="91">
        <v>360</v>
      </c>
      <c r="E68" s="91" t="s">
        <v>226</v>
      </c>
    </row>
    <row r="70" spans="2:7">
      <c r="B70" s="91" t="s">
        <v>239</v>
      </c>
      <c r="D70" s="91">
        <v>1.3</v>
      </c>
      <c r="E70" s="91" t="s">
        <v>417</v>
      </c>
    </row>
    <row r="71" spans="2:7">
      <c r="B71" s="91" t="s">
        <v>445</v>
      </c>
      <c r="D71" s="168">
        <f>[10]!HeCalc(7,0,1,D70*10^5,44,0,1)/1000</f>
        <v>18.771719423356075</v>
      </c>
      <c r="E71" s="91" t="s">
        <v>251</v>
      </c>
    </row>
    <row r="72" spans="2:7">
      <c r="B72" s="91" t="s">
        <v>443</v>
      </c>
      <c r="D72" s="168">
        <f>D68/D71</f>
        <v>19.17778504360566</v>
      </c>
      <c r="E72" s="91" t="s">
        <v>86</v>
      </c>
    </row>
    <row r="75" spans="2:7">
      <c r="B75" s="329" t="s">
        <v>447</v>
      </c>
      <c r="C75" s="330"/>
      <c r="D75" s="182"/>
      <c r="E75" s="182"/>
      <c r="F75" s="182"/>
      <c r="G75" s="182"/>
    </row>
    <row r="76" spans="2:7">
      <c r="B76" s="95"/>
    </row>
    <row r="77" spans="2:7">
      <c r="B77" s="91" t="s">
        <v>448</v>
      </c>
    </row>
    <row r="79" spans="2:7">
      <c r="B79" s="91" t="s">
        <v>449</v>
      </c>
    </row>
    <row r="81" spans="2:5">
      <c r="B81" s="91" t="s">
        <v>451</v>
      </c>
      <c r="D81" s="91">
        <f>52.56</f>
        <v>52.56</v>
      </c>
      <c r="E81" s="91" t="s">
        <v>86</v>
      </c>
    </row>
    <row r="82" spans="2:5">
      <c r="B82" s="91" t="s">
        <v>450</v>
      </c>
      <c r="C82" s="168"/>
      <c r="D82" s="168">
        <f>3%*D81</f>
        <v>1.5768</v>
      </c>
      <c r="E82" s="91" t="s">
        <v>86</v>
      </c>
    </row>
  </sheetData>
  <phoneticPr fontId="12" type="noConversion"/>
  <pageMargins left="0.23" right="0.32" top="1" bottom="1" header="0.4921259845" footer="0.4921259845"/>
  <pageSetup paperSize="9" scale="71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Feuil15"/>
  <dimension ref="B4:I26"/>
  <sheetViews>
    <sheetView workbookViewId="0">
      <selection activeCell="C22" sqref="C22"/>
    </sheetView>
  </sheetViews>
  <sheetFormatPr defaultColWidth="11.42578125" defaultRowHeight="12.75"/>
  <cols>
    <col min="1" max="1" width="11.42578125" style="91" customWidth="1"/>
    <col min="2" max="2" width="10.7109375" style="91" bestFit="1" customWidth="1"/>
    <col min="3" max="3" width="12" style="91" bestFit="1" customWidth="1"/>
    <col min="4" max="4" width="11.42578125" style="91" customWidth="1"/>
    <col min="5" max="5" width="12.42578125" style="91" bestFit="1" customWidth="1"/>
    <col min="6" max="16384" width="11.42578125" style="91"/>
  </cols>
  <sheetData>
    <row r="4" spans="2:9" s="88" customFormat="1">
      <c r="B4" s="89" t="s">
        <v>435</v>
      </c>
      <c r="C4" s="89"/>
      <c r="D4" s="89"/>
      <c r="E4" s="89"/>
      <c r="F4" s="89"/>
      <c r="G4" s="89"/>
      <c r="H4" s="89"/>
      <c r="I4" s="89"/>
    </row>
    <row r="5" spans="2:9" s="92" customFormat="1"/>
    <row r="6" spans="2:9" s="92" customFormat="1">
      <c r="B6" s="133" t="s">
        <v>244</v>
      </c>
      <c r="C6" s="167" t="s">
        <v>21</v>
      </c>
    </row>
    <row r="7" spans="2:9" s="92" customFormat="1">
      <c r="B7" s="133" t="s">
        <v>243</v>
      </c>
      <c r="C7" s="88">
        <f>IF(C6&lt;&gt;"",VLOOKUP(C6,Fluides!$C$2:$H$38,6,FALSE),0)</f>
        <v>11</v>
      </c>
    </row>
    <row r="8" spans="2:9">
      <c r="B8" s="134" t="s">
        <v>240</v>
      </c>
      <c r="C8" s="167">
        <v>10.5</v>
      </c>
      <c r="D8" s="91" t="s">
        <v>84</v>
      </c>
      <c r="F8" s="92"/>
      <c r="G8" s="92"/>
      <c r="H8" s="92"/>
      <c r="I8" s="92"/>
    </row>
    <row r="9" spans="2:9">
      <c r="B9" s="134" t="s">
        <v>241</v>
      </c>
      <c r="C9" s="167">
        <v>318</v>
      </c>
      <c r="D9" s="91" t="s">
        <v>96</v>
      </c>
      <c r="F9" s="92"/>
      <c r="G9" s="92"/>
      <c r="H9" s="92"/>
      <c r="I9" s="92"/>
    </row>
    <row r="10" spans="2:9">
      <c r="B10" s="134" t="s">
        <v>242</v>
      </c>
      <c r="C10" s="135">
        <f>[9]!Rho_(C7,C8,C9)</f>
        <v>1.5824591308297677</v>
      </c>
      <c r="D10" s="91" t="s">
        <v>82</v>
      </c>
      <c r="F10" s="92"/>
      <c r="G10" s="92"/>
      <c r="H10" s="92"/>
      <c r="I10" s="92"/>
    </row>
    <row r="11" spans="2:9">
      <c r="B11" s="134" t="s">
        <v>246</v>
      </c>
      <c r="C11" s="135">
        <f>[9]!H_($C$7,$C$8,$C$9)</f>
        <v>1670.0437325084799</v>
      </c>
      <c r="D11" s="91" t="s">
        <v>251</v>
      </c>
      <c r="F11" s="92"/>
      <c r="G11" s="92"/>
      <c r="H11" s="92"/>
      <c r="I11" s="92"/>
    </row>
    <row r="12" spans="2:9">
      <c r="B12" s="134" t="s">
        <v>247</v>
      </c>
      <c r="C12" s="135">
        <f>[9]!U_($C$7,$C$8,$C$9)</f>
        <v>1006.5194856318755</v>
      </c>
      <c r="D12" s="91" t="s">
        <v>251</v>
      </c>
      <c r="F12" s="92"/>
      <c r="G12" s="92"/>
      <c r="H12" s="92"/>
      <c r="I12" s="92"/>
    </row>
    <row r="13" spans="2:9">
      <c r="B13" s="134" t="s">
        <v>248</v>
      </c>
      <c r="C13" s="135">
        <f>[9]!S_($C$7,$C$8,$C$9)</f>
        <v>27.031116057683249</v>
      </c>
      <c r="D13" s="91" t="s">
        <v>251</v>
      </c>
    </row>
    <row r="14" spans="2:9">
      <c r="B14" s="134" t="s">
        <v>245</v>
      </c>
      <c r="C14" s="135" t="e">
        <f ca="1">Hvap($C$7,$C$8,$C$9)</f>
        <v>#REF!</v>
      </c>
      <c r="D14" s="91" t="s">
        <v>251</v>
      </c>
    </row>
    <row r="15" spans="2:9">
      <c r="B15" s="134" t="s">
        <v>245</v>
      </c>
      <c r="C15" s="135" t="e">
        <f ca="1">Hvap($C$7,$C$8,$C$9)</f>
        <v>#REF!</v>
      </c>
      <c r="D15" s="91" t="s">
        <v>251</v>
      </c>
    </row>
    <row r="16" spans="2:9">
      <c r="B16" s="134" t="s">
        <v>249</v>
      </c>
      <c r="C16" s="135">
        <f>[9]!cp_($C$7,$C$8,$C$9)</f>
        <v>5.1922156754561328</v>
      </c>
      <c r="D16" s="91" t="s">
        <v>251</v>
      </c>
    </row>
    <row r="17" spans="2:4">
      <c r="B17" s="134" t="s">
        <v>250</v>
      </c>
      <c r="C17" s="135">
        <f>[9]!Cv_($C$7,$C$8,$C$9)</f>
        <v>3.1175638315589889</v>
      </c>
      <c r="D17" s="91" t="s">
        <v>251</v>
      </c>
    </row>
    <row r="18" spans="2:4">
      <c r="B18" s="134" t="s">
        <v>271</v>
      </c>
      <c r="C18" s="135">
        <f>[9]!T_sat($C$7,$C$8)</f>
        <v>0</v>
      </c>
      <c r="D18" s="91" t="s">
        <v>96</v>
      </c>
    </row>
    <row r="19" spans="2:4">
      <c r="B19" s="134" t="s">
        <v>272</v>
      </c>
      <c r="C19" s="135">
        <f>[9]!P_sat($C$7,$C$9)</f>
        <v>0</v>
      </c>
      <c r="D19" s="91" t="s">
        <v>84</v>
      </c>
    </row>
    <row r="22" spans="2:4">
      <c r="B22" s="95" t="s">
        <v>316</v>
      </c>
      <c r="C22" s="91">
        <f>54</f>
        <v>54</v>
      </c>
    </row>
    <row r="23" spans="2:4">
      <c r="B23" s="95" t="s">
        <v>519</v>
      </c>
      <c r="C23" s="91">
        <v>14</v>
      </c>
    </row>
    <row r="24" spans="2:4">
      <c r="B24" s="95" t="s">
        <v>420</v>
      </c>
      <c r="C24" s="168">
        <f>C22*C23*C16/1000</f>
        <v>3.9253150506448367</v>
      </c>
      <c r="D24" s="91" t="s">
        <v>381</v>
      </c>
    </row>
    <row r="26" spans="2:4">
      <c r="B26" s="91" t="s">
        <v>520</v>
      </c>
      <c r="C26" s="91">
        <f>1.284 + 0.8617</f>
        <v>2.1457000000000002</v>
      </c>
    </row>
  </sheetData>
  <phoneticPr fontId="12" type="noConversion"/>
  <dataValidations count="1">
    <dataValidation type="list" allowBlank="1" showInputMessage="1" showErrorMessage="1" sqref="C6">
      <formula1>GP_fluides</formula1>
    </dataValidation>
  </dataValidations>
  <pageMargins left="0.75" right="0.75" top="1" bottom="1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Feuil22">
    <pageSetUpPr fitToPage="1"/>
  </sheetPr>
  <dimension ref="B1:Y64"/>
  <sheetViews>
    <sheetView zoomScale="70" zoomScaleNormal="70" zoomScaleSheetLayoutView="70" workbookViewId="0">
      <selection activeCell="T16" sqref="T16"/>
    </sheetView>
  </sheetViews>
  <sheetFormatPr defaultColWidth="11.42578125" defaultRowHeight="12.75" outlineLevelCol="1"/>
  <cols>
    <col min="1" max="1" width="2.85546875" style="91" customWidth="1"/>
    <col min="2" max="2" width="9.85546875" style="91" bestFit="1" customWidth="1"/>
    <col min="3" max="3" width="16.140625" style="91" customWidth="1"/>
    <col min="4" max="4" width="14.28515625" style="91" bestFit="1" customWidth="1"/>
    <col min="5" max="5" width="17.5703125" style="91" bestFit="1" customWidth="1"/>
    <col min="6" max="6" width="12.42578125" style="91" bestFit="1" customWidth="1"/>
    <col min="7" max="7" width="11.5703125" style="91" bestFit="1" customWidth="1"/>
    <col min="8" max="8" width="12" style="91" bestFit="1" customWidth="1"/>
    <col min="9" max="9" width="5.7109375" style="91" hidden="1" customWidth="1" outlineLevel="1"/>
    <col min="10" max="10" width="13.7109375" style="91" bestFit="1" customWidth="1" collapsed="1"/>
    <col min="11" max="11" width="11.5703125" style="91" bestFit="1" customWidth="1"/>
    <col min="12" max="12" width="11.42578125" style="91" customWidth="1"/>
    <col min="13" max="14" width="11.5703125" style="91" bestFit="1" customWidth="1"/>
    <col min="15" max="15" width="11.85546875" style="91" bestFit="1" customWidth="1"/>
    <col min="16" max="16" width="13.140625" style="91" customWidth="1" outlineLevel="1"/>
    <col min="17" max="17" width="11.5703125" style="91" customWidth="1" outlineLevel="1"/>
    <col min="18" max="18" width="14.7109375" style="91" customWidth="1" outlineLevel="1"/>
    <col min="19" max="20" width="11.5703125" style="91" customWidth="1" outlineLevel="1"/>
    <col min="21" max="22" width="11.5703125" style="91" bestFit="1" customWidth="1"/>
    <col min="23" max="23" width="15" style="91" bestFit="1" customWidth="1"/>
    <col min="24" max="24" width="15.140625" style="91" bestFit="1" customWidth="1"/>
    <col min="25" max="25" width="17.28515625" style="91" bestFit="1" customWidth="1"/>
    <col min="26" max="16384" width="11.42578125" style="91"/>
  </cols>
  <sheetData>
    <row r="1" spans="2:25" s="528" customFormat="1" ht="15"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</row>
    <row r="2" spans="2:25" s="528" customFormat="1" ht="15.75">
      <c r="B2" s="530"/>
      <c r="C2" s="531"/>
      <c r="D2" s="532"/>
      <c r="E2" s="533"/>
      <c r="F2" s="534"/>
      <c r="G2" s="534"/>
      <c r="H2" s="534"/>
      <c r="I2" s="534"/>
      <c r="J2" s="535" t="s">
        <v>634</v>
      </c>
      <c r="K2" s="536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7" t="s">
        <v>635</v>
      </c>
      <c r="Y2" s="538"/>
    </row>
    <row r="3" spans="2:25" s="528" customFormat="1" ht="15.75">
      <c r="B3" s="539"/>
      <c r="C3" s="540"/>
      <c r="D3" s="534"/>
      <c r="E3" s="541"/>
      <c r="F3" s="534"/>
      <c r="G3" s="534"/>
      <c r="H3" s="534"/>
      <c r="I3" s="534"/>
      <c r="J3" s="527" t="s">
        <v>636</v>
      </c>
      <c r="K3" s="542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43" t="s">
        <v>637</v>
      </c>
      <c r="Y3" s="544"/>
    </row>
    <row r="4" spans="2:25" s="528" customFormat="1" ht="15.75">
      <c r="B4" s="545"/>
      <c r="C4" s="546"/>
      <c r="D4" s="547"/>
      <c r="E4" s="548"/>
      <c r="F4" s="549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50"/>
      <c r="X4" s="551" t="s">
        <v>638</v>
      </c>
      <c r="Y4" s="544"/>
    </row>
    <row r="5" spans="2:25" s="528" customFormat="1" ht="15">
      <c r="B5" s="552"/>
      <c r="C5" s="553" t="s">
        <v>639</v>
      </c>
      <c r="D5" s="554"/>
      <c r="E5" s="541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55" t="s">
        <v>640</v>
      </c>
      <c r="Y5" s="556"/>
    </row>
    <row r="6" spans="2:25" s="528" customFormat="1" ht="15.75">
      <c r="B6" s="552"/>
      <c r="C6" s="553" t="s">
        <v>641</v>
      </c>
      <c r="D6" s="553"/>
      <c r="E6" s="557"/>
      <c r="F6" s="1264"/>
      <c r="G6" s="1265"/>
      <c r="H6" s="1265"/>
      <c r="I6" s="1265"/>
      <c r="J6" s="1265"/>
      <c r="K6" s="1265"/>
      <c r="L6" s="1265"/>
      <c r="M6" s="1265"/>
      <c r="N6" s="1265"/>
      <c r="O6" s="1265"/>
      <c r="P6" s="1265"/>
      <c r="Q6" s="1265"/>
      <c r="R6" s="1265"/>
      <c r="S6" s="1265"/>
      <c r="T6" s="1265"/>
      <c r="U6" s="1265"/>
      <c r="V6" s="1265"/>
      <c r="W6" s="1266"/>
      <c r="X6" s="558" t="s">
        <v>642</v>
      </c>
      <c r="Y6" s="559"/>
    </row>
    <row r="7" spans="2:25" s="528" customFormat="1" ht="15.75">
      <c r="B7" s="560"/>
      <c r="C7" s="561"/>
      <c r="D7" s="561"/>
      <c r="E7" s="562"/>
      <c r="F7" s="563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7"/>
      <c r="S7" s="547"/>
      <c r="T7" s="547"/>
      <c r="U7" s="547"/>
      <c r="V7" s="547"/>
      <c r="W7" s="547"/>
      <c r="X7" s="564"/>
      <c r="Y7" s="565"/>
    </row>
    <row r="8" spans="2:25">
      <c r="B8" s="340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566"/>
    </row>
    <row r="9" spans="2:25">
      <c r="B9" s="340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566"/>
    </row>
    <row r="10" spans="2:25">
      <c r="B10" s="340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566"/>
    </row>
    <row r="11" spans="2:25" ht="17.25" customHeight="1">
      <c r="B11" s="1261" t="s">
        <v>643</v>
      </c>
      <c r="C11" s="1261"/>
      <c r="D11" s="1261" t="s">
        <v>644</v>
      </c>
      <c r="E11" s="1261" t="s">
        <v>645</v>
      </c>
      <c r="F11" s="1257" t="s">
        <v>646</v>
      </c>
      <c r="G11" s="1257"/>
      <c r="H11" s="1257"/>
      <c r="I11" s="1257"/>
      <c r="J11" s="1257"/>
      <c r="K11" s="1257"/>
      <c r="L11" s="1257"/>
      <c r="M11" s="1257"/>
      <c r="N11" s="1257"/>
      <c r="O11" s="1257"/>
      <c r="P11" s="1257"/>
      <c r="Q11" s="1263" t="s">
        <v>647</v>
      </c>
      <c r="R11" s="1263"/>
      <c r="S11" s="1263"/>
      <c r="T11" s="1263"/>
      <c r="U11" s="1263"/>
      <c r="V11" s="1263"/>
      <c r="W11" s="1263"/>
      <c r="X11" s="1263"/>
      <c r="Y11" s="1263"/>
    </row>
    <row r="12" spans="2:25" ht="21" customHeight="1">
      <c r="B12" s="1261"/>
      <c r="C12" s="1261"/>
      <c r="D12" s="1261"/>
      <c r="E12" s="1261"/>
      <c r="F12" s="1258" t="s">
        <v>240</v>
      </c>
      <c r="G12" s="1258" t="s">
        <v>241</v>
      </c>
      <c r="H12" s="1258" t="s">
        <v>244</v>
      </c>
      <c r="I12" s="1258" t="s">
        <v>243</v>
      </c>
      <c r="J12" s="1258" t="s">
        <v>648</v>
      </c>
      <c r="K12" s="1258" t="s">
        <v>649</v>
      </c>
      <c r="L12" s="1258" t="s">
        <v>569</v>
      </c>
      <c r="M12" s="1258" t="s">
        <v>650</v>
      </c>
      <c r="N12" s="1258" t="s">
        <v>651</v>
      </c>
      <c r="O12" s="1258" t="s">
        <v>529</v>
      </c>
      <c r="P12" s="1258" t="s">
        <v>652</v>
      </c>
      <c r="Q12" s="1259" t="s">
        <v>653</v>
      </c>
      <c r="R12" s="1259" t="s">
        <v>654</v>
      </c>
      <c r="S12" s="1260" t="s">
        <v>531</v>
      </c>
      <c r="T12" s="1260" t="s">
        <v>655</v>
      </c>
      <c r="U12" s="1260" t="s">
        <v>322</v>
      </c>
      <c r="V12" s="1260" t="s">
        <v>656</v>
      </c>
      <c r="W12" s="1260" t="s">
        <v>657</v>
      </c>
      <c r="X12" s="1260" t="s">
        <v>658</v>
      </c>
      <c r="Y12" s="1260" t="s">
        <v>659</v>
      </c>
    </row>
    <row r="13" spans="2:25" ht="13.5" customHeight="1">
      <c r="B13" s="1261"/>
      <c r="C13" s="1261"/>
      <c r="D13" s="1262"/>
      <c r="E13" s="1262"/>
      <c r="F13" s="1258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60"/>
      <c r="R13" s="1260"/>
      <c r="S13" s="1260"/>
      <c r="T13" s="1260"/>
      <c r="U13" s="1260"/>
      <c r="V13" s="1260"/>
      <c r="W13" s="1260"/>
      <c r="X13" s="1260"/>
      <c r="Y13" s="1260"/>
    </row>
    <row r="14" spans="2:25" ht="15.75">
      <c r="B14" s="567">
        <v>1</v>
      </c>
      <c r="C14" s="568" t="s">
        <v>661</v>
      </c>
      <c r="D14" s="569" t="s">
        <v>696</v>
      </c>
      <c r="E14" s="569" t="s">
        <v>697</v>
      </c>
      <c r="F14" s="570">
        <v>1</v>
      </c>
      <c r="G14" s="571">
        <v>270</v>
      </c>
      <c r="H14" s="572" t="s">
        <v>660</v>
      </c>
      <c r="I14" s="573" t="e">
        <f>VLOOKUP(H14,Fluides!$K$2:$L$3,2,FALSE)</f>
        <v>#N/A</v>
      </c>
      <c r="J14" s="574">
        <f>[9]!Rho_(11,F14,G14)</f>
        <v>0.17820890138790407</v>
      </c>
      <c r="K14" s="648">
        <v>1.2</v>
      </c>
      <c r="L14" s="575">
        <v>50</v>
      </c>
      <c r="M14" s="576">
        <f>IF(N14=10,VLOOKUP(L14,'Pipe diameter'!$C$10:$F$23,4,FALSE),VLOOKUP(L14,'Pipe diameter'!$C$33:$F$46,4,FALSE))</f>
        <v>56.3</v>
      </c>
      <c r="N14" s="577">
        <f>IF(C14="BP",10,27)</f>
        <v>10</v>
      </c>
      <c r="O14" s="578">
        <f>((K14/1000)/J14)*(4/(PI()*(M14/1000)^2))</f>
        <v>2.7048624325489383</v>
      </c>
      <c r="P14" s="579">
        <f>O14/[9]!sound_speed(11,F14,G14)</f>
        <v>2.7963466872972069E-3</v>
      </c>
      <c r="Q14" s="580">
        <f>J14*O14^2</f>
        <v>1.3038263598736237</v>
      </c>
      <c r="R14" s="581">
        <f>[9]!mu_(11,F14,G14)</f>
        <v>1.8547410980962773E-5</v>
      </c>
      <c r="S14" s="582">
        <f>J14*O14*M14/1000/R14</f>
        <v>1463.1864629066429</v>
      </c>
      <c r="T14" s="582">
        <f>0.25/(LOG(50*10^-6/(3.7*M14*10^-3)+5.74/S14^0.9,10))^2</f>
        <v>5.7939369957101382E-2</v>
      </c>
      <c r="U14" s="583">
        <v>6</v>
      </c>
      <c r="V14" s="584">
        <v>2</v>
      </c>
      <c r="W14" s="585">
        <f>V14*0.3*(J14*O14^2)/2*10^-2</f>
        <v>3.9114790796208714E-3</v>
      </c>
      <c r="X14" s="586">
        <f>(T14/(M14*10^-3)*(J14*O14^2)/2)*10^-2</f>
        <v>6.7089589542219091E-3</v>
      </c>
      <c r="Y14" s="587">
        <f>X14+W14*U14</f>
        <v>3.0177833431947139E-2</v>
      </c>
    </row>
    <row r="15" spans="2:25" ht="15.75">
      <c r="B15" s="588">
        <v>2</v>
      </c>
      <c r="C15" s="568" t="s">
        <v>456</v>
      </c>
      <c r="D15" s="569" t="s">
        <v>701</v>
      </c>
      <c r="E15" s="569" t="s">
        <v>702</v>
      </c>
      <c r="F15" s="570">
        <v>150</v>
      </c>
      <c r="G15" s="571">
        <v>270</v>
      </c>
      <c r="H15" s="572" t="s">
        <v>660</v>
      </c>
      <c r="I15" s="573" t="e">
        <f>VLOOKUP(H15,Fluides!$K$2:$L$3,2,FALSE)</f>
        <v>#N/A</v>
      </c>
      <c r="J15" s="574">
        <f>[9]!Rho_(11,F15,G15)</f>
        <v>24.816687549357979</v>
      </c>
      <c r="K15" s="648">
        <v>4</v>
      </c>
      <c r="L15" s="575">
        <v>10</v>
      </c>
      <c r="M15" s="576">
        <f>IF(N15=10,VLOOKUP(L15,'Pipe diameter'!$C$10:$F$23,4,FALSE),VLOOKUP(L15,'Pipe diameter'!$C$33:$F$46,4,FALSE))</f>
        <v>14</v>
      </c>
      <c r="N15" s="577">
        <f>IF(C15="BP",10,27)</f>
        <v>27</v>
      </c>
      <c r="O15" s="578">
        <f>((K15/1000)/J15)*(4/(PI()*(M15/1000)^2))</f>
        <v>1.0470567618308699</v>
      </c>
      <c r="P15" s="579">
        <f>O15/[9]!sound_speed(11,F15,G15)</f>
        <v>1.009941040733382E-3</v>
      </c>
      <c r="Q15" s="580">
        <f>J15*O15^2</f>
        <v>27.207226015212456</v>
      </c>
      <c r="R15" s="581">
        <f>[9]!mu_(11,F15,G15)</f>
        <v>1.9169687168897094E-5</v>
      </c>
      <c r="S15" s="582">
        <f>J15*O15*M15/1000/R15</f>
        <v>18976.977759836813</v>
      </c>
      <c r="T15" s="582">
        <f>0.25/(LOG(50*10^-6/(3.7*M15*10^-3)+5.74/S15^0.9,10))^2</f>
        <v>3.3040308408744494E-2</v>
      </c>
      <c r="U15" s="583">
        <v>10</v>
      </c>
      <c r="V15" s="584">
        <v>4</v>
      </c>
      <c r="W15" s="585">
        <f>V15*0.3*(J15*O15^2)/2*10^-2</f>
        <v>0.16324335609127474</v>
      </c>
      <c r="X15" s="586">
        <f>(T15/(M15*10^-3)*(J15*O15^2)/2)*10^-2</f>
        <v>0.32104826374608431</v>
      </c>
      <c r="Y15" s="587">
        <f>X15+W15*U15</f>
        <v>1.9534818246588317</v>
      </c>
    </row>
    <row r="16" spans="2:25" ht="15.75">
      <c r="B16" s="589">
        <v>3</v>
      </c>
      <c r="C16" s="568" t="s">
        <v>457</v>
      </c>
      <c r="D16" s="569" t="s">
        <v>704</v>
      </c>
      <c r="E16" s="569" t="s">
        <v>702</v>
      </c>
      <c r="F16" s="570">
        <v>24</v>
      </c>
      <c r="G16" s="571">
        <v>270</v>
      </c>
      <c r="H16" s="572" t="s">
        <v>660</v>
      </c>
      <c r="I16" s="573" t="e">
        <f>VLOOKUP(H16,Fluides!$K$2:$L$3,2,FALSE)</f>
        <v>#N/A</v>
      </c>
      <c r="J16" s="574">
        <f>[9]!Rho_(11,F16,G16)</f>
        <v>4.2269342328091968</v>
      </c>
      <c r="K16" s="648">
        <v>4</v>
      </c>
      <c r="L16" s="575">
        <v>10</v>
      </c>
      <c r="M16" s="590">
        <f>IF(N16=10,VLOOKUP(L16,'Pipe diameter'!$C$10:$F$23,4,FALSE),VLOOKUP(L16,'Pipe diameter'!$C$33:$F$46,4,FALSE))</f>
        <v>14</v>
      </c>
      <c r="N16" s="591">
        <f>IF(C16="BP",10,27)</f>
        <v>27</v>
      </c>
      <c r="O16" s="592">
        <f>((K16/1000)/J16)*(4/(PI()*(M16/1000)^2))</f>
        <v>6.1473585993151572</v>
      </c>
      <c r="P16" s="593">
        <f>O16/[9]!sound_speed(11,F16,G16)</f>
        <v>6.2863745766815029E-3</v>
      </c>
      <c r="Q16" s="594">
        <f>J16*O16^2</f>
        <v>159.73591967991462</v>
      </c>
      <c r="R16" s="595">
        <f>[9]!mu_(11,F16,G16)</f>
        <v>1.8651771807983343E-5</v>
      </c>
      <c r="S16" s="596">
        <f>J16*O16*M16/1000/R16</f>
        <v>19503.923316898119</v>
      </c>
      <c r="T16" s="596">
        <f>0.25/(LOG(50*10^-6/(3.7*M16*10^-3)+5.74/S16^0.9,10))^2</f>
        <v>3.292405592174745E-2</v>
      </c>
      <c r="U16" s="583">
        <v>10</v>
      </c>
      <c r="V16" s="584">
        <v>4</v>
      </c>
      <c r="W16" s="597">
        <f>V16*0.3*(J16*O16^2)/2*10^-2</f>
        <v>0.95841551807948766</v>
      </c>
      <c r="X16" s="598">
        <f>(T16/(M16*10^-3)*(J16*O16^2)/2)*10^-2</f>
        <v>1.8782694115190246</v>
      </c>
      <c r="Y16" s="599">
        <f>X16+W16*U16</f>
        <v>11.462424592313901</v>
      </c>
    </row>
    <row r="17" spans="2:25" ht="15.75">
      <c r="B17" s="600">
        <v>4</v>
      </c>
      <c r="C17" s="568" t="s">
        <v>661</v>
      </c>
      <c r="D17" s="569" t="s">
        <v>702</v>
      </c>
      <c r="E17" s="569" t="s">
        <v>703</v>
      </c>
      <c r="F17" s="570">
        <v>20</v>
      </c>
      <c r="G17" s="571">
        <v>270</v>
      </c>
      <c r="H17" s="572" t="s">
        <v>660</v>
      </c>
      <c r="I17" s="573" t="e">
        <f>VLOOKUP(H17,Fluides!$K$2:$L$3,2,FALSE)</f>
        <v>#N/A</v>
      </c>
      <c r="J17" s="574">
        <f>[9]!Rho_(11,F17,G17)</f>
        <v>3.5296427357927525</v>
      </c>
      <c r="K17" s="648">
        <v>4</v>
      </c>
      <c r="L17" s="575">
        <v>10</v>
      </c>
      <c r="M17" s="576">
        <f>IF(N17=10,VLOOKUP(L17,'Pipe diameter'!$C$10:$F$23,4,FALSE),VLOOKUP(L17,'Pipe diameter'!$C$33:$F$46,4,FALSE))</f>
        <v>14</v>
      </c>
      <c r="N17" s="577">
        <f>IF(C17="BP",10,27)</f>
        <v>10</v>
      </c>
      <c r="O17" s="578">
        <f>((K17/1000)/J17)*(4/(PI()*(M17/1000)^2))</f>
        <v>7.3617877076624758</v>
      </c>
      <c r="P17" s="579">
        <f>O17/[9]!sound_speed(11,F17,G17)</f>
        <v>7.5425305012950718E-3</v>
      </c>
      <c r="Q17" s="580">
        <f>J17*O17^2</f>
        <v>191.29222917022628</v>
      </c>
      <c r="R17" s="581">
        <f>[9]!mu_(11,F17,G17)</f>
        <v>1.8633864617409433E-5</v>
      </c>
      <c r="S17" s="582">
        <f>J17*O17*M17/1000/R17</f>
        <v>19522.666636061676</v>
      </c>
      <c r="T17" s="582">
        <f>0.25/(LOG(50*10^-6/(3.7*M17*10^-3)+5.74/S17^0.9,10))^2</f>
        <v>3.2920018411175096E-2</v>
      </c>
      <c r="U17" s="583">
        <v>10</v>
      </c>
      <c r="V17" s="584">
        <v>4</v>
      </c>
      <c r="W17" s="585">
        <f>V17*0.3*(J17*O17^2)/2*10^-2</f>
        <v>1.1477533750213578</v>
      </c>
      <c r="X17" s="586">
        <f>(T17/(M17*10^-3)*(J17*O17^2)/2)*10^-2</f>
        <v>2.2490513236423482</v>
      </c>
      <c r="Y17" s="587">
        <f>X17+W17*U17</f>
        <v>13.726585073855926</v>
      </c>
    </row>
    <row r="18" spans="2:25">
      <c r="B18" s="340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566"/>
    </row>
    <row r="19" spans="2:25">
      <c r="B19" s="340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566"/>
    </row>
    <row r="20" spans="2:25">
      <c r="B20" s="340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566"/>
    </row>
    <row r="21" spans="2:25">
      <c r="B21" s="340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566"/>
    </row>
    <row r="22" spans="2:25">
      <c r="B22" s="340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566"/>
    </row>
    <row r="23" spans="2:25">
      <c r="B23" s="340"/>
      <c r="C23" s="94"/>
      <c r="D23" s="186"/>
      <c r="E23" s="186"/>
      <c r="F23" s="186"/>
      <c r="G23" s="186"/>
      <c r="H23" s="186"/>
      <c r="I23" s="186"/>
      <c r="J23" s="186"/>
      <c r="K23" s="186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566"/>
    </row>
    <row r="24" spans="2:25">
      <c r="B24" s="340"/>
      <c r="C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566"/>
    </row>
    <row r="25" spans="2:25">
      <c r="B25" s="340"/>
      <c r="C25" s="94"/>
      <c r="D25" s="89" t="s">
        <v>705</v>
      </c>
      <c r="E25" s="89"/>
      <c r="F25" s="89"/>
      <c r="G25" s="89"/>
      <c r="H25" s="89"/>
      <c r="I25" s="89"/>
      <c r="J25" s="89"/>
      <c r="K25" s="89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566"/>
    </row>
    <row r="26" spans="2:25">
      <c r="B26" s="340"/>
      <c r="C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566"/>
    </row>
    <row r="27" spans="2:25">
      <c r="B27" s="340"/>
      <c r="C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566"/>
    </row>
    <row r="28" spans="2:25">
      <c r="B28" s="340"/>
      <c r="C28" s="92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566"/>
    </row>
    <row r="29" spans="2:25">
      <c r="B29" s="340"/>
      <c r="D29" s="133" t="s">
        <v>244</v>
      </c>
      <c r="E29" s="649" t="s">
        <v>21</v>
      </c>
      <c r="F29" s="649" t="s">
        <v>21</v>
      </c>
      <c r="G29" s="649" t="s">
        <v>21</v>
      </c>
      <c r="H29" s="649" t="s">
        <v>21</v>
      </c>
      <c r="I29" s="96"/>
      <c r="J29" s="649"/>
      <c r="K29" s="649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566"/>
    </row>
    <row r="30" spans="2:25">
      <c r="B30" s="340"/>
      <c r="D30" s="133" t="s">
        <v>243</v>
      </c>
      <c r="E30" s="650">
        <f>IF(E29&lt;&gt;"",VLOOKUP(E29,Fluides!$C$2:$H$38,6,FALSE),0)</f>
        <v>11</v>
      </c>
      <c r="F30" s="650">
        <f>IF(F29&lt;&gt;"",VLOOKUP(F29,Fluides!$C$2:$H$38,6,FALSE),0)</f>
        <v>11</v>
      </c>
      <c r="G30" s="650">
        <f>IF(G29&lt;&gt;"",VLOOKUP(G29,Fluides!$C$2:$H$38,6,FALSE),0)</f>
        <v>11</v>
      </c>
      <c r="H30" s="650">
        <f>IF(H29&lt;&gt;"",VLOOKUP(H29,Fluides!$C$2:$H$38,6,FALSE),0)</f>
        <v>11</v>
      </c>
      <c r="I30" s="96"/>
      <c r="J30" s="650"/>
      <c r="K30" s="650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566"/>
    </row>
    <row r="31" spans="2:25">
      <c r="B31" s="340"/>
      <c r="D31" s="134" t="s">
        <v>240</v>
      </c>
      <c r="E31" s="656">
        <v>150</v>
      </c>
      <c r="F31" s="656">
        <v>25</v>
      </c>
      <c r="G31" s="656">
        <v>25</v>
      </c>
      <c r="H31" s="656">
        <v>10</v>
      </c>
      <c r="I31" s="656"/>
      <c r="J31" s="656"/>
      <c r="K31" s="656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566"/>
    </row>
    <row r="32" spans="2:25">
      <c r="B32" s="340"/>
      <c r="D32" s="134" t="s">
        <v>241</v>
      </c>
      <c r="E32" s="657">
        <v>270</v>
      </c>
      <c r="F32" s="657">
        <v>270</v>
      </c>
      <c r="G32" s="657">
        <v>270</v>
      </c>
      <c r="H32" s="657">
        <v>300</v>
      </c>
      <c r="I32" s="657"/>
      <c r="J32" s="657"/>
      <c r="K32" s="657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566"/>
    </row>
    <row r="33" spans="2:25">
      <c r="B33" s="340"/>
      <c r="D33" s="134" t="s">
        <v>374</v>
      </c>
      <c r="E33" s="651">
        <v>4</v>
      </c>
      <c r="F33" s="651">
        <v>1.2</v>
      </c>
      <c r="G33" s="651">
        <v>4</v>
      </c>
      <c r="H33" s="651">
        <v>4</v>
      </c>
      <c r="I33" s="651"/>
      <c r="J33" s="651"/>
      <c r="K33" s="651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566"/>
    </row>
    <row r="34" spans="2:25">
      <c r="B34" s="340"/>
      <c r="D34" s="134" t="s">
        <v>370</v>
      </c>
      <c r="E34" s="654">
        <f>[9]!Rho_(E30,E31,E32)</f>
        <v>24.816687549357979</v>
      </c>
      <c r="F34" s="654">
        <f>[9]!Rho_(F30,F31,F32)</f>
        <v>4.400812248287326</v>
      </c>
      <c r="G34" s="654">
        <f>[9]!Rho_(G30,G31,G32)</f>
        <v>4.400812248287326</v>
      </c>
      <c r="H34" s="654">
        <f>[9]!Rho_(H30,H31,H32)</f>
        <v>1.5974049525036866</v>
      </c>
      <c r="I34" s="654"/>
      <c r="J34" s="654"/>
      <c r="K34" s="65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566"/>
    </row>
    <row r="35" spans="2:25">
      <c r="B35" s="340"/>
      <c r="D35" s="134" t="s">
        <v>371</v>
      </c>
      <c r="E35" s="96">
        <v>12000</v>
      </c>
      <c r="F35" s="96">
        <v>12000</v>
      </c>
      <c r="G35" s="96">
        <v>12000</v>
      </c>
      <c r="H35" s="96">
        <v>12000</v>
      </c>
      <c r="I35" s="96"/>
      <c r="J35" s="96"/>
      <c r="K35" s="96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566"/>
    </row>
    <row r="36" spans="2:25">
      <c r="B36" s="340"/>
      <c r="D36" s="134" t="s">
        <v>698</v>
      </c>
      <c r="E36" s="652">
        <f>(E35/E34)^(1/2)</f>
        <v>21.989670237098345</v>
      </c>
      <c r="F36" s="652">
        <f>(F35/F34)^(1/2)</f>
        <v>52.218477194504175</v>
      </c>
      <c r="G36" s="652">
        <f>(G35/G34)^(1/2)</f>
        <v>52.218477194504175</v>
      </c>
      <c r="H36" s="652">
        <f>(H35/H34)^(1/2)</f>
        <v>86.672856457492358</v>
      </c>
      <c r="I36" s="652"/>
      <c r="J36" s="652"/>
      <c r="K36" s="652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566"/>
    </row>
    <row r="37" spans="2:25">
      <c r="B37" s="340"/>
      <c r="D37" s="134" t="s">
        <v>699</v>
      </c>
      <c r="E37" s="653">
        <v>15</v>
      </c>
      <c r="F37" s="653">
        <v>15</v>
      </c>
      <c r="G37" s="653">
        <v>15</v>
      </c>
      <c r="H37" s="653">
        <v>15</v>
      </c>
      <c r="I37" s="653"/>
      <c r="J37" s="653"/>
      <c r="K37" s="653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566"/>
    </row>
    <row r="38" spans="2:25">
      <c r="B38" s="340"/>
      <c r="D38" s="134" t="s">
        <v>370</v>
      </c>
      <c r="E38" s="654">
        <f>E34</f>
        <v>24.816687549357979</v>
      </c>
      <c r="F38" s="654">
        <f>F34</f>
        <v>4.400812248287326</v>
      </c>
      <c r="G38" s="654">
        <f>G34</f>
        <v>4.400812248287326</v>
      </c>
      <c r="H38" s="654">
        <f>H34</f>
        <v>1.5974049525036866</v>
      </c>
      <c r="I38" s="654"/>
      <c r="J38" s="654"/>
      <c r="K38" s="65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566"/>
    </row>
    <row r="39" spans="2:25">
      <c r="B39" s="340"/>
      <c r="D39" s="134" t="s">
        <v>374</v>
      </c>
      <c r="E39" s="655">
        <f>E33/1000/E38*3600</f>
        <v>0.58025471656359451</v>
      </c>
      <c r="F39" s="655">
        <f>F33/1000/F38*3600</f>
        <v>0.98163696978466275</v>
      </c>
      <c r="G39" s="655">
        <f>G33/1000/G38*3600</f>
        <v>3.2721232326155429</v>
      </c>
      <c r="H39" s="655">
        <f>H33/1000/H38*3600</f>
        <v>9.0146208558012884</v>
      </c>
      <c r="I39" s="655"/>
      <c r="J39" s="655"/>
      <c r="K39" s="655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566"/>
    </row>
    <row r="40" spans="2:25">
      <c r="B40" s="340"/>
      <c r="D40" s="134" t="s">
        <v>700</v>
      </c>
      <c r="E40" s="658">
        <f>((4*E39)/(3600*E37*PI()))^(1/2)*1000</f>
        <v>3.6988568082481064</v>
      </c>
      <c r="F40" s="658">
        <f>((4*F39)/(3600*F37*PI()))^(1/2)*1000</f>
        <v>4.8109808973342796</v>
      </c>
      <c r="G40" s="658">
        <f>((4*G39)/(3600*G37*PI()))^(1/2)*1000</f>
        <v>8.7836092039881013</v>
      </c>
      <c r="H40" s="658">
        <f>((4*H39)/(3600*H37*PI()))^(1/2)*1000</f>
        <v>14.579140193618933</v>
      </c>
      <c r="I40" s="658"/>
      <c r="J40" s="658"/>
      <c r="K40" s="658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566"/>
    </row>
    <row r="41" spans="2:25">
      <c r="B41" s="340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566"/>
    </row>
    <row r="42" spans="2:25">
      <c r="B42" s="340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566"/>
    </row>
    <row r="43" spans="2:25">
      <c r="B43" s="340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566"/>
    </row>
    <row r="44" spans="2:25">
      <c r="B44" s="340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566"/>
    </row>
    <row r="45" spans="2:25">
      <c r="B45" s="340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566"/>
    </row>
    <row r="46" spans="2:25">
      <c r="B46" s="340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566"/>
    </row>
    <row r="47" spans="2:25">
      <c r="B47" s="340"/>
      <c r="C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566"/>
    </row>
    <row r="48" spans="2:25">
      <c r="B48" s="340"/>
      <c r="C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566"/>
    </row>
    <row r="49" spans="2:25">
      <c r="B49" s="340"/>
      <c r="C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566"/>
    </row>
    <row r="50" spans="2:25">
      <c r="B50" s="340"/>
      <c r="C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566"/>
    </row>
    <row r="51" spans="2:25">
      <c r="B51" s="340"/>
      <c r="C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566"/>
    </row>
    <row r="52" spans="2:25">
      <c r="B52" s="340"/>
      <c r="C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566"/>
    </row>
    <row r="53" spans="2:25">
      <c r="B53" s="340"/>
      <c r="C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566"/>
    </row>
    <row r="54" spans="2:25">
      <c r="B54" s="340"/>
      <c r="C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566"/>
    </row>
    <row r="55" spans="2:25">
      <c r="B55" s="340"/>
      <c r="C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566"/>
    </row>
    <row r="56" spans="2:25">
      <c r="B56" s="340"/>
      <c r="C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566"/>
    </row>
    <row r="57" spans="2:25">
      <c r="B57" s="340"/>
      <c r="C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566"/>
    </row>
    <row r="58" spans="2:25">
      <c r="B58" s="340"/>
      <c r="C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566"/>
    </row>
    <row r="59" spans="2:25">
      <c r="B59" s="340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566"/>
    </row>
    <row r="60" spans="2:25" ht="15">
      <c r="B60" s="601" t="s">
        <v>662</v>
      </c>
      <c r="C60" s="602" t="s">
        <v>663</v>
      </c>
      <c r="D60" s="603" t="s">
        <v>664</v>
      </c>
      <c r="E60" s="603" t="s">
        <v>665</v>
      </c>
      <c r="F60" s="602" t="s">
        <v>666</v>
      </c>
      <c r="G60" s="604"/>
      <c r="H60" s="604"/>
      <c r="I60" s="604"/>
      <c r="J60" s="604"/>
      <c r="K60" s="604"/>
      <c r="L60" s="604"/>
      <c r="M60" s="604"/>
      <c r="N60" s="604"/>
      <c r="O60" s="605"/>
      <c r="P60" s="604"/>
      <c r="Q60" s="604"/>
      <c r="R60" s="604"/>
      <c r="S60" s="604"/>
      <c r="T60" s="604"/>
      <c r="U60" s="604"/>
      <c r="V60" s="604"/>
      <c r="W60" s="604"/>
      <c r="X60" s="606"/>
      <c r="Y60" s="607" t="s">
        <v>667</v>
      </c>
    </row>
    <row r="61" spans="2:25" ht="15">
      <c r="B61" s="608">
        <v>0</v>
      </c>
      <c r="C61" s="609">
        <v>40246</v>
      </c>
      <c r="D61" s="610" t="s">
        <v>668</v>
      </c>
      <c r="E61" s="611"/>
      <c r="F61" s="612"/>
      <c r="G61" s="612"/>
      <c r="H61" s="612"/>
      <c r="I61" s="612"/>
      <c r="J61" s="612"/>
      <c r="K61" s="612"/>
      <c r="L61" s="612"/>
      <c r="M61" s="612"/>
      <c r="N61" s="612"/>
      <c r="O61" s="613"/>
      <c r="P61" s="612"/>
      <c r="Q61" s="612"/>
      <c r="R61" s="612"/>
      <c r="S61" s="612"/>
      <c r="T61" s="612"/>
      <c r="U61" s="612"/>
      <c r="V61" s="612"/>
      <c r="W61" s="612"/>
      <c r="X61" s="614"/>
      <c r="Y61" s="615"/>
    </row>
    <row r="62" spans="2:25" ht="15">
      <c r="B62" s="608">
        <v>1</v>
      </c>
      <c r="C62" s="609"/>
      <c r="D62" s="610"/>
      <c r="E62" s="616"/>
      <c r="F62" s="617"/>
      <c r="G62" s="617"/>
      <c r="H62" s="617"/>
      <c r="I62" s="617"/>
      <c r="J62" s="617"/>
      <c r="K62" s="617"/>
      <c r="L62" s="617"/>
      <c r="M62" s="617"/>
      <c r="N62" s="617"/>
      <c r="O62" s="618"/>
      <c r="P62" s="617"/>
      <c r="Q62" s="617"/>
      <c r="R62" s="617"/>
      <c r="S62" s="617"/>
      <c r="T62" s="617"/>
      <c r="U62" s="617"/>
      <c r="V62" s="617"/>
      <c r="W62" s="617"/>
      <c r="X62" s="619"/>
      <c r="Y62" s="620" t="s">
        <v>669</v>
      </c>
    </row>
    <row r="63" spans="2:25" ht="15">
      <c r="B63" s="608">
        <v>2</v>
      </c>
      <c r="C63" s="609"/>
      <c r="D63" s="610"/>
      <c r="E63" s="621"/>
      <c r="F63" s="622"/>
      <c r="G63" s="617"/>
      <c r="H63" s="617"/>
      <c r="I63" s="617"/>
      <c r="J63" s="617"/>
      <c r="K63" s="617"/>
      <c r="L63" s="617"/>
      <c r="M63" s="617"/>
      <c r="N63" s="617"/>
      <c r="O63" s="618"/>
      <c r="P63" s="617"/>
      <c r="Q63" s="617"/>
      <c r="R63" s="617"/>
      <c r="S63" s="617"/>
      <c r="T63" s="617"/>
      <c r="U63" s="617"/>
      <c r="V63" s="617"/>
      <c r="W63" s="617"/>
      <c r="X63" s="619"/>
      <c r="Y63" s="623"/>
    </row>
    <row r="64" spans="2:25" ht="15">
      <c r="B64" s="624">
        <v>3</v>
      </c>
      <c r="C64" s="625" t="s">
        <v>642</v>
      </c>
      <c r="D64" s="626"/>
      <c r="E64" s="626" t="s">
        <v>642</v>
      </c>
      <c r="F64" s="627"/>
      <c r="G64" s="627"/>
      <c r="H64" s="627"/>
      <c r="I64" s="627"/>
      <c r="J64" s="627"/>
      <c r="K64" s="627"/>
      <c r="L64" s="627"/>
      <c r="M64" s="627"/>
      <c r="N64" s="627"/>
      <c r="O64" s="628" t="s">
        <v>642</v>
      </c>
      <c r="P64" s="627"/>
      <c r="Q64" s="627"/>
      <c r="R64" s="627"/>
      <c r="S64" s="627"/>
      <c r="T64" s="627"/>
      <c r="U64" s="627"/>
      <c r="V64" s="627"/>
      <c r="W64" s="627"/>
      <c r="X64" s="629"/>
      <c r="Y64" s="630"/>
    </row>
  </sheetData>
  <mergeCells count="26">
    <mergeCell ref="F6:W6"/>
    <mergeCell ref="T12:T13"/>
    <mergeCell ref="U12:U13"/>
    <mergeCell ref="N12:N13"/>
    <mergeCell ref="Q12:Q13"/>
    <mergeCell ref="V12:V13"/>
    <mergeCell ref="W12:W13"/>
    <mergeCell ref="G12:G13"/>
    <mergeCell ref="J12:J13"/>
    <mergeCell ref="K12:K13"/>
    <mergeCell ref="X12:X13"/>
    <mergeCell ref="B11:C13"/>
    <mergeCell ref="D11:D13"/>
    <mergeCell ref="E11:E13"/>
    <mergeCell ref="Q11:Y11"/>
    <mergeCell ref="O12:O13"/>
    <mergeCell ref="Y12:Y13"/>
    <mergeCell ref="S12:S13"/>
    <mergeCell ref="P12:P13"/>
    <mergeCell ref="F12:F13"/>
    <mergeCell ref="F11:P11"/>
    <mergeCell ref="M12:M13"/>
    <mergeCell ref="R12:R13"/>
    <mergeCell ref="L12:L13"/>
    <mergeCell ref="H12:H13"/>
    <mergeCell ref="I12:I13"/>
  </mergeCells>
  <phoneticPr fontId="12" type="noConversion"/>
  <dataValidations count="4">
    <dataValidation type="list" allowBlank="1" showInputMessage="1" showErrorMessage="1" sqref="J29:K29 E29:H29">
      <formula1>GP_fluides</formula1>
    </dataValidation>
    <dataValidation type="list" allowBlank="1" showInputMessage="1" showErrorMessage="1" sqref="H14:H17">
      <formula1>gas</formula1>
    </dataValidation>
    <dataValidation type="list" allowBlank="1" showInputMessage="1" showErrorMessage="1" sqref="V14:V17">
      <formula1>coude</formula1>
    </dataValidation>
    <dataValidation type="list" allowBlank="1" showInputMessage="1" showErrorMessage="1" sqref="L14:L17">
      <formula1>DN</formula1>
    </dataValidation>
  </dataValidations>
  <pageMargins left="0.78740157480314965" right="0.78740157480314965" top="0.49" bottom="0.45" header="0.51181102362204722" footer="0.51181102362204722"/>
  <pageSetup paperSize="9" scale="4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Feuil27"/>
  <dimension ref="B2:AD39"/>
  <sheetViews>
    <sheetView zoomScale="115" zoomScaleNormal="85" zoomScaleSheetLayoutView="70" workbookViewId="0">
      <selection activeCell="C14" sqref="C14"/>
    </sheetView>
  </sheetViews>
  <sheetFormatPr defaultColWidth="11.42578125" defaultRowHeight="12.75"/>
  <cols>
    <col min="1" max="1" width="5.85546875" style="91" customWidth="1"/>
    <col min="2" max="2" width="12.42578125" style="91" customWidth="1"/>
    <col min="3" max="3" width="15.7109375" style="91" customWidth="1"/>
    <col min="4" max="5" width="11.42578125" style="91" customWidth="1"/>
    <col min="6" max="12" width="8.140625" style="91" customWidth="1"/>
    <col min="13" max="16384" width="11.42578125" style="91"/>
  </cols>
  <sheetData>
    <row r="2" spans="2:30">
      <c r="D2" s="94"/>
      <c r="E2" s="94"/>
    </row>
    <row r="3" spans="2:30">
      <c r="B3" s="95" t="s">
        <v>776</v>
      </c>
      <c r="D3" s="94"/>
      <c r="E3" s="94"/>
    </row>
    <row r="4" spans="2:30">
      <c r="D4" s="94"/>
      <c r="E4" s="94"/>
    </row>
    <row r="5" spans="2:30">
      <c r="B5" s="819" t="s">
        <v>777</v>
      </c>
      <c r="C5" s="820" t="s">
        <v>21</v>
      </c>
      <c r="D5" s="472">
        <f>VLOOKUP(C5,[11]Fluides!$C$2:$H$38,6,FALSE)</f>
        <v>11</v>
      </c>
      <c r="E5" s="94"/>
      <c r="I5" s="821" t="s">
        <v>778</v>
      </c>
      <c r="J5" s="822"/>
      <c r="K5" s="822"/>
      <c r="L5" s="822"/>
      <c r="M5" s="823"/>
    </row>
    <row r="6" spans="2:30" ht="25.5">
      <c r="B6" s="824" t="s">
        <v>403</v>
      </c>
      <c r="C6" s="214">
        <v>37</v>
      </c>
      <c r="D6" s="91" t="s">
        <v>86</v>
      </c>
      <c r="E6" s="94"/>
      <c r="I6" s="825" t="s">
        <v>779</v>
      </c>
      <c r="J6" s="826" t="s">
        <v>780</v>
      </c>
      <c r="K6" s="826" t="s">
        <v>781</v>
      </c>
      <c r="L6" s="826" t="s">
        <v>782</v>
      </c>
      <c r="M6" s="827" t="s">
        <v>783</v>
      </c>
    </row>
    <row r="7" spans="2:30">
      <c r="B7" s="819" t="s">
        <v>784</v>
      </c>
      <c r="C7" s="173">
        <v>10</v>
      </c>
      <c r="D7" s="94"/>
      <c r="E7" s="472"/>
      <c r="F7" s="820"/>
      <c r="I7" s="828"/>
      <c r="J7" s="829">
        <v>6</v>
      </c>
      <c r="K7" s="829">
        <v>8</v>
      </c>
      <c r="L7" s="829">
        <v>1</v>
      </c>
      <c r="M7" s="830">
        <f>K7-L7*2</f>
        <v>6</v>
      </c>
    </row>
    <row r="8" spans="2:30">
      <c r="B8" s="819" t="s">
        <v>785</v>
      </c>
      <c r="C8" s="173">
        <v>40</v>
      </c>
      <c r="D8" s="94"/>
      <c r="E8" s="472"/>
      <c r="F8" s="820"/>
      <c r="I8" s="828"/>
      <c r="J8" s="829">
        <v>8</v>
      </c>
      <c r="K8" s="829">
        <v>13.5</v>
      </c>
      <c r="L8" s="829">
        <v>1.6</v>
      </c>
      <c r="M8" s="830">
        <f>K8-L8*2</f>
        <v>10.3</v>
      </c>
    </row>
    <row r="9" spans="2:30">
      <c r="B9" s="831" t="s">
        <v>799</v>
      </c>
      <c r="C9" s="474">
        <f>[9]!FluidProperties(D5,1,C7*10^5,2,C8,3,0,1)</f>
        <v>11.724036329013289</v>
      </c>
      <c r="D9" s="94"/>
      <c r="E9" s="472"/>
      <c r="F9" s="820"/>
      <c r="I9" s="828" t="s">
        <v>386</v>
      </c>
      <c r="J9" s="829">
        <v>10</v>
      </c>
      <c r="K9" s="829">
        <v>17.2</v>
      </c>
      <c r="L9" s="829">
        <v>1.6</v>
      </c>
      <c r="M9" s="830">
        <v>14</v>
      </c>
    </row>
    <row r="10" spans="2:30">
      <c r="B10" s="832" t="s">
        <v>786</v>
      </c>
      <c r="C10" s="833">
        <f>[9]!FluidProperties(24,1,C7*100000,2,C8,10,0,1)</f>
        <v>0</v>
      </c>
      <c r="D10" s="94"/>
      <c r="E10" s="472"/>
      <c r="F10" s="820"/>
      <c r="I10" s="828" t="s">
        <v>387</v>
      </c>
      <c r="J10" s="829">
        <v>15</v>
      </c>
      <c r="K10" s="829">
        <v>21.3</v>
      </c>
      <c r="L10" s="829">
        <v>1.6</v>
      </c>
      <c r="M10" s="830">
        <v>18.100000000000001</v>
      </c>
    </row>
    <row r="11" spans="2:30">
      <c r="B11" s="834" t="s">
        <v>800</v>
      </c>
      <c r="C11" s="472">
        <f>[9]!FluidProperties($D$5,1,C7*10^5,2,C8,21,0,1)</f>
        <v>5.8722191811779645E-6</v>
      </c>
      <c r="D11" s="94"/>
      <c r="E11" s="472"/>
      <c r="F11" s="820"/>
      <c r="I11" s="828" t="s">
        <v>389</v>
      </c>
      <c r="J11" s="829">
        <v>20</v>
      </c>
      <c r="K11" s="829">
        <v>26.9</v>
      </c>
      <c r="L11" s="829">
        <v>1.6</v>
      </c>
      <c r="M11" s="830">
        <v>23.7</v>
      </c>
    </row>
    <row r="12" spans="2:30">
      <c r="B12" s="819" t="s">
        <v>531</v>
      </c>
      <c r="C12" s="472">
        <f>$C$9*(C20-C21)*10^-3*$C$17/$C$11</f>
        <v>482412.62147310009</v>
      </c>
      <c r="D12" s="94"/>
      <c r="E12" s="472"/>
      <c r="F12" s="820"/>
      <c r="I12" s="828" t="s">
        <v>390</v>
      </c>
      <c r="J12" s="829">
        <v>25</v>
      </c>
      <c r="K12" s="829">
        <v>33.700000000000003</v>
      </c>
      <c r="L12" s="829">
        <v>1.6</v>
      </c>
      <c r="M12" s="830">
        <v>30.5</v>
      </c>
    </row>
    <row r="13" spans="2:30">
      <c r="B13" s="834" t="s">
        <v>801</v>
      </c>
      <c r="C13" s="472">
        <f>0.3164/C12^0.25</f>
        <v>1.2005543049189977E-2</v>
      </c>
      <c r="D13" s="94"/>
      <c r="E13" s="472"/>
      <c r="F13" s="820"/>
      <c r="I13" s="828" t="s">
        <v>391</v>
      </c>
      <c r="J13" s="829">
        <v>32</v>
      </c>
      <c r="K13" s="829">
        <v>42.4</v>
      </c>
      <c r="L13" s="829">
        <v>1.6</v>
      </c>
      <c r="M13" s="830">
        <v>39.200000000000003</v>
      </c>
    </row>
    <row r="14" spans="2:30" ht="16.5" customHeight="1">
      <c r="B14" s="834" t="s">
        <v>802</v>
      </c>
      <c r="C14" s="472">
        <f>0.25*(LOG(13/C12+(0.05/C19)/3.7))^-2</f>
        <v>4.419806559967851E-2</v>
      </c>
      <c r="D14" s="94"/>
      <c r="E14" s="472"/>
      <c r="F14" s="820"/>
      <c r="I14" s="828" t="s">
        <v>392</v>
      </c>
      <c r="J14" s="829">
        <v>40</v>
      </c>
      <c r="K14" s="829">
        <v>48.3</v>
      </c>
      <c r="L14" s="829">
        <v>1.6</v>
      </c>
      <c r="M14" s="830">
        <v>45.1</v>
      </c>
      <c r="AC14" s="835" t="s">
        <v>787</v>
      </c>
      <c r="AD14" s="835" t="s">
        <v>788</v>
      </c>
    </row>
    <row r="15" spans="2:30">
      <c r="D15" s="94"/>
      <c r="E15" s="472"/>
      <c r="F15" s="820"/>
      <c r="I15" s="828" t="s">
        <v>393</v>
      </c>
      <c r="J15" s="829">
        <v>50</v>
      </c>
      <c r="K15" s="829">
        <v>60.3</v>
      </c>
      <c r="L15" s="829">
        <v>1.6</v>
      </c>
      <c r="M15" s="830">
        <v>57.1</v>
      </c>
      <c r="AC15" s="836" t="e">
        <f>ABS(#REF!*#REF!)</f>
        <v>#REF!</v>
      </c>
      <c r="AD15" s="643" t="e">
        <f>+AC15*#REF!</f>
        <v>#REF!</v>
      </c>
    </row>
    <row r="16" spans="2:30">
      <c r="B16" s="824" t="s">
        <v>789</v>
      </c>
      <c r="C16" s="514">
        <f>C6*10^-3/C9*3600</f>
        <v>11.361274928018778</v>
      </c>
      <c r="D16" s="91" t="s">
        <v>375</v>
      </c>
      <c r="E16" s="472"/>
      <c r="I16" s="828" t="s">
        <v>394</v>
      </c>
      <c r="J16" s="829">
        <v>65</v>
      </c>
      <c r="K16" s="829">
        <v>76.099999999999994</v>
      </c>
      <c r="L16" s="829">
        <v>1.6</v>
      </c>
      <c r="M16" s="830">
        <v>72.900000000000006</v>
      </c>
    </row>
    <row r="17" spans="2:13">
      <c r="B17" s="824" t="s">
        <v>220</v>
      </c>
      <c r="C17" s="514">
        <f>C16/3600/(PI()*((C20-2*C21)/1000)^2/4)</f>
        <v>12.265281989222997</v>
      </c>
      <c r="D17" s="91" t="s">
        <v>113</v>
      </c>
      <c r="E17" s="472"/>
      <c r="I17" s="828" t="s">
        <v>395</v>
      </c>
      <c r="J17" s="829">
        <v>80</v>
      </c>
      <c r="K17" s="829">
        <v>86.9</v>
      </c>
      <c r="L17" s="829">
        <v>1.6</v>
      </c>
      <c r="M17" s="830">
        <v>83.7</v>
      </c>
    </row>
    <row r="18" spans="2:13">
      <c r="C18" s="92"/>
      <c r="E18" s="472"/>
      <c r="I18" s="837" t="s">
        <v>396</v>
      </c>
      <c r="J18" s="838">
        <v>100</v>
      </c>
      <c r="K18" s="838">
        <v>114.3</v>
      </c>
      <c r="L18" s="838">
        <v>1.6</v>
      </c>
      <c r="M18" s="839">
        <v>111.1</v>
      </c>
    </row>
    <row r="19" spans="2:13">
      <c r="B19" s="840" t="s">
        <v>790</v>
      </c>
      <c r="C19" s="92">
        <v>3.25</v>
      </c>
      <c r="D19" s="91" t="s">
        <v>316</v>
      </c>
      <c r="E19" s="472"/>
    </row>
    <row r="20" spans="2:13">
      <c r="B20" s="840" t="s">
        <v>791</v>
      </c>
      <c r="C20" s="464">
        <v>21.3</v>
      </c>
      <c r="D20" s="91" t="s">
        <v>377</v>
      </c>
      <c r="E20" s="472"/>
    </row>
    <row r="21" spans="2:13">
      <c r="B21" s="840" t="s">
        <v>792</v>
      </c>
      <c r="C21" s="464">
        <v>1.6</v>
      </c>
      <c r="D21" s="91" t="s">
        <v>377</v>
      </c>
      <c r="E21" s="472"/>
    </row>
    <row r="22" spans="2:13">
      <c r="B22" s="840" t="s">
        <v>793</v>
      </c>
      <c r="C22" s="92">
        <v>6</v>
      </c>
    </row>
    <row r="23" spans="2:13">
      <c r="B23" s="840" t="s">
        <v>794</v>
      </c>
      <c r="C23" s="464">
        <v>0.3</v>
      </c>
    </row>
    <row r="24" spans="2:13">
      <c r="B24" s="824" t="s">
        <v>795</v>
      </c>
      <c r="C24" s="474">
        <f>+C14*C19/(C20*10^-3)</f>
        <v>6.7438363004204307</v>
      </c>
      <c r="E24" s="472"/>
    </row>
    <row r="25" spans="2:13">
      <c r="B25" s="840" t="s">
        <v>796</v>
      </c>
      <c r="C25" s="464">
        <f>C23*C22+C24</f>
        <v>8.5438363004204305</v>
      </c>
    </row>
    <row r="26" spans="2:13" ht="13.5" thickBot="1"/>
    <row r="27" spans="2:13">
      <c r="B27" s="841" t="s">
        <v>797</v>
      </c>
      <c r="C27" s="842">
        <f>+C25*C9*C17^2</f>
        <v>15069.024851759536</v>
      </c>
      <c r="D27" s="843" t="s">
        <v>98</v>
      </c>
    </row>
    <row r="28" spans="2:13" ht="13.5" thickBot="1">
      <c r="B28" s="844" t="s">
        <v>798</v>
      </c>
      <c r="C28" s="845">
        <f>C27*10^-2</f>
        <v>150.69024851759536</v>
      </c>
      <c r="D28" s="846" t="s">
        <v>552</v>
      </c>
    </row>
    <row r="37" spans="7:12">
      <c r="G37" s="847"/>
      <c r="H37" s="847"/>
      <c r="I37" s="847"/>
      <c r="L37" s="847"/>
    </row>
    <row r="38" spans="7:12">
      <c r="G38" s="847"/>
      <c r="H38" s="847"/>
      <c r="I38" s="847"/>
      <c r="L38" s="847"/>
    </row>
    <row r="39" spans="7:12">
      <c r="G39" s="848"/>
      <c r="H39" s="848"/>
      <c r="I39" s="848"/>
      <c r="L39" s="848"/>
    </row>
  </sheetData>
  <phoneticPr fontId="12" type="noConversion"/>
  <dataValidations count="1">
    <dataValidation type="list" allowBlank="1" showInputMessage="1" showErrorMessage="1" sqref="F7:F15">
      <formula1>GP_fluides</formula1>
    </dataValidation>
  </dataValidations>
  <pageMargins left="0.75" right="0.75" top="1" bottom="1" header="0.4921259845" footer="0.4921259845"/>
  <pageSetup paperSize="9" scale="47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Feuil19"/>
  <dimension ref="B31:Y94"/>
  <sheetViews>
    <sheetView zoomScale="70" workbookViewId="0">
      <selection activeCell="R48" sqref="R48"/>
    </sheetView>
  </sheetViews>
  <sheetFormatPr defaultColWidth="11.42578125" defaultRowHeight="12.75"/>
  <cols>
    <col min="1" max="1" width="3.5703125" style="91" customWidth="1"/>
    <col min="2" max="2" width="11" style="91" customWidth="1"/>
    <col min="3" max="3" width="11.42578125" style="91" customWidth="1"/>
    <col min="4" max="4" width="6.7109375" style="91" bestFit="1" customWidth="1"/>
    <col min="5" max="5" width="8.140625" style="91" customWidth="1"/>
    <col min="6" max="6" width="4.42578125" style="91" bestFit="1" customWidth="1"/>
    <col min="7" max="7" width="10.5703125" style="91" bestFit="1" customWidth="1"/>
    <col min="8" max="8" width="10.85546875" style="91" bestFit="1" customWidth="1"/>
    <col min="9" max="10" width="11.42578125" style="91" customWidth="1"/>
    <col min="11" max="11" width="12.5703125" style="91" bestFit="1" customWidth="1"/>
    <col min="12" max="16384" width="11.42578125" style="91"/>
  </cols>
  <sheetData>
    <row r="31" spans="3:18" ht="13.5" thickBot="1"/>
    <row r="32" spans="3:18">
      <c r="C32" s="482" t="s">
        <v>569</v>
      </c>
      <c r="D32" s="442" t="s">
        <v>521</v>
      </c>
      <c r="E32" s="443" t="s">
        <v>522</v>
      </c>
      <c r="F32" s="443" t="s">
        <v>523</v>
      </c>
      <c r="G32" s="443" t="s">
        <v>241</v>
      </c>
      <c r="H32" s="443" t="s">
        <v>524</v>
      </c>
      <c r="I32" s="444" t="s">
        <v>525</v>
      </c>
      <c r="J32" s="444" t="s">
        <v>526</v>
      </c>
      <c r="K32" s="445" t="s">
        <v>527</v>
      </c>
      <c r="L32" s="444" t="s">
        <v>528</v>
      </c>
      <c r="M32" s="444" t="s">
        <v>529</v>
      </c>
      <c r="N32" s="446" t="s">
        <v>530</v>
      </c>
      <c r="O32" s="444" t="s">
        <v>531</v>
      </c>
      <c r="P32" s="447" t="s">
        <v>532</v>
      </c>
      <c r="Q32" s="446" t="s">
        <v>533</v>
      </c>
      <c r="R32" s="448" t="s">
        <v>533</v>
      </c>
    </row>
    <row r="33" spans="2:18" ht="13.5" thickBot="1">
      <c r="C33" s="482"/>
      <c r="D33" s="450" t="s">
        <v>534</v>
      </c>
      <c r="E33" s="450" t="s">
        <v>535</v>
      </c>
      <c r="F33" s="450" t="s">
        <v>536</v>
      </c>
      <c r="G33" s="450" t="s">
        <v>537</v>
      </c>
      <c r="H33" s="450" t="s">
        <v>407</v>
      </c>
      <c r="I33" s="451" t="s">
        <v>534</v>
      </c>
      <c r="J33" s="451" t="s">
        <v>538</v>
      </c>
      <c r="K33" s="452" t="s">
        <v>539</v>
      </c>
      <c r="L33" s="451" t="s">
        <v>540</v>
      </c>
      <c r="M33" s="451" t="s">
        <v>541</v>
      </c>
      <c r="N33" s="453" t="s">
        <v>541</v>
      </c>
      <c r="O33" s="451"/>
      <c r="P33" s="454"/>
      <c r="Q33" s="453" t="s">
        <v>542</v>
      </c>
      <c r="R33" s="456" t="s">
        <v>543</v>
      </c>
    </row>
    <row r="34" spans="2:18">
      <c r="B34" s="464" t="s">
        <v>544</v>
      </c>
      <c r="C34" s="92" t="s">
        <v>571</v>
      </c>
      <c r="D34" s="472">
        <v>45.1</v>
      </c>
      <c r="E34" s="472">
        <v>10</v>
      </c>
      <c r="F34" s="472"/>
      <c r="G34" s="472">
        <v>150</v>
      </c>
      <c r="H34" s="472">
        <v>50.5</v>
      </c>
      <c r="I34" s="479">
        <v>5.0000000000000002E-5</v>
      </c>
      <c r="J34" s="473">
        <v>20</v>
      </c>
      <c r="K34" s="477">
        <f>[9]!Rho_(11,E34,G34)</f>
        <v>3.1783547306636519</v>
      </c>
      <c r="L34" s="472">
        <f>[9]!mu_(11,E34,G34)</f>
        <v>1.2588792279395088E-5</v>
      </c>
      <c r="M34" s="474">
        <f>H34/1000/K34/(PI()*(D34/1000)^2/4)</f>
        <v>9.9459448457423782</v>
      </c>
      <c r="N34" s="475">
        <f>[9]!sound_speed(11,E34,G34)</f>
        <v>727.31409116379336</v>
      </c>
      <c r="O34" s="476">
        <f>K34*M34*D34/1000/L34</f>
        <v>113250.69798244162</v>
      </c>
      <c r="P34" s="477">
        <f xml:space="preserve"> IF(O34&lt;2000,64/O34,IF(O34&lt;100000,(100*O34)^(-1/4),1/(2*LOG(3.71*D34/1000/I34))^2))</f>
        <v>2.0124502523449772E-2</v>
      </c>
      <c r="Q34" s="480">
        <f>(P34*J34*K34*M34^2)/(D34/1000*2)*1000/100000</f>
        <v>14.02952835403028</v>
      </c>
      <c r="R34" s="478">
        <f>(P34*K34*M34^2)/(D34/1000*2)*1000/100000</f>
        <v>0.70147641770151414</v>
      </c>
    </row>
    <row r="35" spans="2:18">
      <c r="B35" s="464"/>
      <c r="C35" s="92"/>
      <c r="D35" s="472"/>
      <c r="E35" s="472"/>
      <c r="F35" s="472"/>
      <c r="G35" s="472"/>
      <c r="H35" s="472"/>
      <c r="I35" s="479"/>
      <c r="J35" s="473"/>
      <c r="K35" s="477"/>
      <c r="L35" s="472"/>
      <c r="M35" s="474"/>
      <c r="N35" s="475"/>
      <c r="O35" s="476"/>
      <c r="P35" s="477"/>
      <c r="Q35" s="480"/>
      <c r="R35" s="478"/>
    </row>
    <row r="36" spans="2:18">
      <c r="B36" s="464" t="s">
        <v>544</v>
      </c>
      <c r="C36" s="92" t="s">
        <v>568</v>
      </c>
      <c r="D36" s="472">
        <v>20</v>
      </c>
      <c r="E36" s="472">
        <v>10</v>
      </c>
      <c r="F36" s="472"/>
      <c r="G36" s="472">
        <v>150</v>
      </c>
      <c r="H36" s="472">
        <v>50.5</v>
      </c>
      <c r="I36" s="479">
        <v>5.0000000000000002E-5</v>
      </c>
      <c r="J36" s="473">
        <v>16.5</v>
      </c>
      <c r="K36" s="477">
        <f>[9]!Rho_(11,E36,G36)</f>
        <v>3.1783547306636519</v>
      </c>
      <c r="L36" s="472">
        <f>[9]!mu_(11,E36,G36)</f>
        <v>1.2588792279395088E-5</v>
      </c>
      <c r="M36" s="474">
        <f>H36/1000/K36/(PI()*(D36/1000)^2/4)</f>
        <v>50.575378189221148</v>
      </c>
      <c r="N36" s="475">
        <f>[9]!sound_speed(11,E36,G36)</f>
        <v>727.31409116379336</v>
      </c>
      <c r="O36" s="476">
        <f>K36*M36*D36/1000/L36</f>
        <v>255380.32395040593</v>
      </c>
      <c r="P36" s="477">
        <f xml:space="preserve"> IF(O36&lt;2000,64/O36,IF(O36&lt;100000,(100*O36)^(-1/4),1/(2*LOG(3.71*D36/1000/I36))^2))</f>
        <v>2.4855853478622712E-2</v>
      </c>
      <c r="Q36" s="480">
        <f>(P36*J36*K36*M36^2)/(D36/1000*2)*1000/100000</f>
        <v>833.55311241174002</v>
      </c>
      <c r="R36" s="478">
        <f>(P36*K36*M36^2)/(D36/1000*2)*1000/100000</f>
        <v>50.518370449196361</v>
      </c>
    </row>
    <row r="37" spans="2:18">
      <c r="B37" s="464"/>
      <c r="C37" s="92"/>
      <c r="D37" s="472"/>
      <c r="E37" s="472"/>
      <c r="F37" s="472"/>
      <c r="G37" s="472"/>
      <c r="H37" s="472"/>
      <c r="I37" s="479"/>
      <c r="J37" s="473"/>
      <c r="K37" s="477"/>
      <c r="L37" s="472"/>
      <c r="M37" s="474"/>
      <c r="N37" s="475"/>
      <c r="O37" s="476"/>
      <c r="P37" s="477"/>
      <c r="Q37" s="480"/>
      <c r="R37" s="478"/>
    </row>
    <row r="38" spans="2:18">
      <c r="B38" s="95" t="s">
        <v>557</v>
      </c>
      <c r="C38" s="496">
        <v>25</v>
      </c>
      <c r="D38" s="472">
        <v>34</v>
      </c>
      <c r="E38" s="472">
        <v>10</v>
      </c>
      <c r="F38" s="472"/>
      <c r="G38" s="472">
        <v>300</v>
      </c>
      <c r="H38" s="472">
        <v>54</v>
      </c>
      <c r="I38" s="479">
        <v>5.0000000000000002E-5</v>
      </c>
      <c r="J38" s="473">
        <v>17</v>
      </c>
      <c r="K38" s="477">
        <f>[9]!Rho_(11,E38,G38)</f>
        <v>1.5974049525036866</v>
      </c>
      <c r="L38" s="472">
        <f>[9]!mu_(11,E38,G38)</f>
        <v>1.9960875061733861E-5</v>
      </c>
      <c r="M38" s="474">
        <f>H38/1000/K38/(PI()*(D38/1000)^2/4)</f>
        <v>37.233256123704152</v>
      </c>
      <c r="N38" s="475">
        <f>[9]!sound_speed(11,E38,G38)</f>
        <v>1023.4148626814639</v>
      </c>
      <c r="O38" s="476">
        <f>K38*M38*D38/1000/L38</f>
        <v>101308.38335295983</v>
      </c>
      <c r="P38" s="477">
        <f xml:space="preserve"> IF(O38&lt;2000,64/O38,IF(O38&lt;100000,(100*O38)^(-1/4),1/(2*LOG(3.71*D38/1000/I38))^2))</f>
        <v>2.1602365414513776E-2</v>
      </c>
      <c r="Q38" s="480">
        <f>(P38*J38*K38*M38^2)/(D38/1000*2)*1000/100000</f>
        <v>119.59647488033787</v>
      </c>
      <c r="R38" s="478">
        <f>(P38*K38*M38^2)/(D38/1000*2)*1000/100000</f>
        <v>7.0350867576669351</v>
      </c>
    </row>
    <row r="39" spans="2:18">
      <c r="B39" s="95" t="s">
        <v>565</v>
      </c>
      <c r="C39" s="92"/>
      <c r="D39" s="472">
        <v>40</v>
      </c>
      <c r="E39" s="472">
        <v>1.2</v>
      </c>
      <c r="F39" s="472"/>
      <c r="G39" s="472">
        <v>300</v>
      </c>
      <c r="H39" s="472">
        <v>46.8</v>
      </c>
      <c r="I39" s="479">
        <v>5.0000000000000002E-5</v>
      </c>
      <c r="J39" s="473">
        <v>10.5</v>
      </c>
      <c r="K39" s="477">
        <f>[9]!Rho_(11,E39,G39)</f>
        <v>0.19245916158711063</v>
      </c>
      <c r="L39" s="472">
        <f>[9]!mu_(11,E39,G39)</f>
        <v>1.9930370684057509E-5</v>
      </c>
      <c r="M39" s="474">
        <f>H39/1000/K39/(PI()*(D39/1000)^2/4)</f>
        <v>193.50732059926884</v>
      </c>
      <c r="N39" s="475">
        <f>[9]!sound_speed(11,E39,G39)</f>
        <v>1019.6374697751924</v>
      </c>
      <c r="O39" s="476">
        <f>K39*M39*D39/1000/L39</f>
        <v>74744.734604046142</v>
      </c>
      <c r="P39" s="477">
        <f xml:space="preserve"> IF(O39&lt;2000,64/O39,IF(O39&lt;100000,(100*O39)^(-1/4),1/(2*LOG(3.71*D39/1000/I39))^2))</f>
        <v>1.9125149952052313E-2</v>
      </c>
      <c r="Q39" s="480">
        <f>(P39*J39*K39*M39^2)/(D39/1000*2)*1000/100000</f>
        <v>180.89957627285884</v>
      </c>
      <c r="R39" s="478">
        <f>(P39*K39*M39^2)/(D39/1000*2)*1000/100000</f>
        <v>17.228531073605602</v>
      </c>
    </row>
    <row r="58" spans="3:19" ht="13.5" thickBot="1"/>
    <row r="59" spans="3:19">
      <c r="C59" s="483" t="s">
        <v>570</v>
      </c>
      <c r="D59" s="484" t="s">
        <v>522</v>
      </c>
      <c r="E59" s="484" t="s">
        <v>523</v>
      </c>
      <c r="F59" s="484" t="s">
        <v>241</v>
      </c>
      <c r="G59" s="484" t="s">
        <v>524</v>
      </c>
      <c r="H59" s="485" t="s">
        <v>525</v>
      </c>
      <c r="I59" s="485" t="s">
        <v>526</v>
      </c>
      <c r="J59" s="486" t="s">
        <v>527</v>
      </c>
      <c r="K59" s="485" t="s">
        <v>528</v>
      </c>
      <c r="L59" s="485" t="s">
        <v>529</v>
      </c>
      <c r="M59" s="487" t="s">
        <v>530</v>
      </c>
      <c r="N59" s="485" t="s">
        <v>531</v>
      </c>
      <c r="O59" s="488" t="s">
        <v>532</v>
      </c>
      <c r="P59" s="487" t="s">
        <v>533</v>
      </c>
      <c r="Q59" s="489" t="s">
        <v>533</v>
      </c>
      <c r="R59" s="449"/>
    </row>
    <row r="60" spans="3:19" ht="13.5" thickBot="1">
      <c r="C60" s="490" t="s">
        <v>534</v>
      </c>
      <c r="D60" s="490" t="s">
        <v>535</v>
      </c>
      <c r="E60" s="490" t="s">
        <v>536</v>
      </c>
      <c r="F60" s="490" t="s">
        <v>537</v>
      </c>
      <c r="G60" s="490" t="s">
        <v>407</v>
      </c>
      <c r="H60" s="491" t="s">
        <v>534</v>
      </c>
      <c r="I60" s="491" t="s">
        <v>538</v>
      </c>
      <c r="J60" s="492" t="s">
        <v>539</v>
      </c>
      <c r="K60" s="491" t="s">
        <v>540</v>
      </c>
      <c r="L60" s="491" t="s">
        <v>541</v>
      </c>
      <c r="M60" s="493" t="s">
        <v>541</v>
      </c>
      <c r="N60" s="491"/>
      <c r="O60" s="494"/>
      <c r="P60" s="493" t="s">
        <v>542</v>
      </c>
      <c r="Q60" s="495" t="s">
        <v>543</v>
      </c>
    </row>
    <row r="61" spans="3:19" s="92" customFormat="1">
      <c r="C61" s="443"/>
      <c r="D61" s="443"/>
      <c r="E61" s="443"/>
      <c r="F61" s="443"/>
      <c r="G61" s="443"/>
      <c r="H61" s="457"/>
      <c r="I61" s="458"/>
      <c r="J61" s="459"/>
      <c r="K61" s="460"/>
      <c r="L61" s="461"/>
      <c r="M61" s="462"/>
      <c r="N61" s="460"/>
      <c r="O61" s="459"/>
      <c r="P61" s="461"/>
      <c r="Q61" s="463"/>
    </row>
    <row r="62" spans="3:19" s="332" customFormat="1">
      <c r="C62" s="1232"/>
      <c r="D62" s="1232"/>
      <c r="E62" s="464" t="s">
        <v>544</v>
      </c>
      <c r="F62" s="464"/>
      <c r="G62" s="464"/>
      <c r="H62" s="465"/>
      <c r="I62" s="466"/>
      <c r="J62" s="467"/>
      <c r="K62" s="468"/>
      <c r="L62" s="469"/>
      <c r="M62" s="470"/>
      <c r="N62" s="468"/>
      <c r="O62" s="467"/>
      <c r="P62" s="469"/>
      <c r="Q62" s="471"/>
    </row>
    <row r="63" spans="3:19">
      <c r="C63" s="472"/>
      <c r="D63" s="472"/>
      <c r="E63" s="472"/>
      <c r="F63" s="472"/>
      <c r="G63" s="472"/>
      <c r="H63" s="472"/>
      <c r="I63" s="473"/>
      <c r="J63" s="472"/>
      <c r="K63" s="472"/>
      <c r="L63" s="474"/>
      <c r="M63" s="475"/>
      <c r="N63" s="476"/>
      <c r="O63" s="477"/>
      <c r="P63" s="474"/>
      <c r="Q63" s="478"/>
    </row>
    <row r="64" spans="3:19">
      <c r="C64" s="472">
        <v>20</v>
      </c>
      <c r="D64" s="472">
        <v>14.7</v>
      </c>
      <c r="E64" s="472"/>
      <c r="F64" s="472">
        <v>150</v>
      </c>
      <c r="G64" s="472">
        <v>30</v>
      </c>
      <c r="H64" s="479">
        <v>5.0000000000000002E-5</v>
      </c>
      <c r="I64" s="473">
        <v>16.5</v>
      </c>
      <c r="J64" s="477">
        <f>[9]!Rho_(11,D64,F64)</f>
        <v>4.6510413887072719</v>
      </c>
      <c r="K64" s="472">
        <f>[9]!mu_(11,D64,F64)</f>
        <v>1.2633850761804486E-5</v>
      </c>
      <c r="L64" s="474">
        <f>G64/1000/J64/(PI()*(C64/1000)^2/4)</f>
        <v>20.531523560937153</v>
      </c>
      <c r="M64" s="475">
        <f>[9]!sound_speed(11,D64,F64)</f>
        <v>730.45765575312487</v>
      </c>
      <c r="N64" s="476">
        <f>J64*L64*C64/1000/K64</f>
        <v>151170.00771267302</v>
      </c>
      <c r="O64" s="477">
        <f xml:space="preserve"> IF(N64&lt;2000,64/N64,IF(N64&lt;100000,(100*N64)^(-1/4),1/(2*LOG(3.71*C64/1000/H64))^2))</f>
        <v>2.4855853478622712E-2</v>
      </c>
      <c r="P64" s="480">
        <f>(O64*I64*J64*L64^2)/(C64/1000*2)*1000/100000</f>
        <v>201.0227421324835</v>
      </c>
      <c r="Q64" s="478">
        <f>(O64*J64*L64^2)/(C64/1000*2)*1000/100000</f>
        <v>12.183196492877789</v>
      </c>
      <c r="R64" s="92">
        <v>0</v>
      </c>
      <c r="S64" s="91" t="s">
        <v>545</v>
      </c>
    </row>
    <row r="65" spans="3:25">
      <c r="C65" s="472">
        <v>20</v>
      </c>
      <c r="D65" s="472">
        <v>10</v>
      </c>
      <c r="E65" s="472"/>
      <c r="F65" s="472">
        <v>150</v>
      </c>
      <c r="G65" s="472">
        <v>50.5</v>
      </c>
      <c r="H65" s="479">
        <v>5.0000000000000002E-5</v>
      </c>
      <c r="I65" s="473">
        <v>16.5</v>
      </c>
      <c r="J65" s="477">
        <f>[9]!Rho_(11,D65,F65)</f>
        <v>3.1783547306636519</v>
      </c>
      <c r="K65" s="472">
        <f>[9]!mu_(11,D65,F65)</f>
        <v>1.2588792279395088E-5</v>
      </c>
      <c r="L65" s="474">
        <f>G65/1000/J65/(PI()*(C65/1000)^2/4)</f>
        <v>50.575378189221148</v>
      </c>
      <c r="M65" s="475">
        <f>[9]!sound_speed(11,D65,F65)</f>
        <v>727.31409116379336</v>
      </c>
      <c r="N65" s="476">
        <f>J65*L65*C65/1000/K65</f>
        <v>255380.32395040593</v>
      </c>
      <c r="O65" s="477">
        <f xml:space="preserve"> IF(N65&lt;2000,64/N65,IF(N65&lt;100000,(100*N65)^(-1/4),1/(2*LOG(3.71*C65/1000/H65))^2))</f>
        <v>2.4855853478622712E-2</v>
      </c>
      <c r="P65" s="480">
        <f>(O65*I65*J65*L65^2)/(C65/1000*2)*1000/100000</f>
        <v>833.55311241174002</v>
      </c>
      <c r="Q65" s="478">
        <f>(O65*J65*L65^2)/(C65/1000*2)*1000/100000</f>
        <v>50.518370449196361</v>
      </c>
      <c r="R65" s="92">
        <v>1</v>
      </c>
    </row>
    <row r="68" spans="3:25">
      <c r="U68" s="91" t="s">
        <v>546</v>
      </c>
      <c r="V68" s="91">
        <f>Q80+Q72</f>
        <v>685</v>
      </c>
    </row>
    <row r="70" spans="3:25">
      <c r="G70" s="91" t="s">
        <v>547</v>
      </c>
      <c r="H70" s="91" t="s">
        <v>548</v>
      </c>
      <c r="I70" s="91" t="s">
        <v>549</v>
      </c>
      <c r="J70" s="91" t="s">
        <v>544</v>
      </c>
      <c r="K70" s="91">
        <v>14.7</v>
      </c>
      <c r="U70" s="91" t="s">
        <v>550</v>
      </c>
      <c r="V70" s="168">
        <f>P65+P77</f>
        <v>953.14958729207785</v>
      </c>
    </row>
    <row r="71" spans="3:25">
      <c r="J71" s="91" t="s">
        <v>551</v>
      </c>
      <c r="K71" s="91">
        <v>14.5</v>
      </c>
    </row>
    <row r="72" spans="3:25">
      <c r="K72" s="91">
        <f>(K70-K71)*1000</f>
        <v>199.99999999999929</v>
      </c>
      <c r="L72" s="91" t="s">
        <v>552</v>
      </c>
      <c r="O72" s="91" t="s">
        <v>553</v>
      </c>
      <c r="Q72" s="333">
        <v>235</v>
      </c>
      <c r="R72" s="95" t="s">
        <v>554</v>
      </c>
      <c r="V72" s="91" t="s">
        <v>555</v>
      </c>
      <c r="W72" s="168">
        <f>V70-V68</f>
        <v>268.14958729207785</v>
      </c>
      <c r="Y72" s="91" t="s">
        <v>552</v>
      </c>
    </row>
    <row r="73" spans="3:25">
      <c r="O73" s="91" t="s">
        <v>556</v>
      </c>
      <c r="Q73" s="333">
        <f>(10.02-9.385)*1000</f>
        <v>634.99999999999977</v>
      </c>
    </row>
    <row r="74" spans="3:25">
      <c r="E74" s="95" t="s">
        <v>557</v>
      </c>
    </row>
    <row r="76" spans="3:25">
      <c r="C76" s="472">
        <v>34</v>
      </c>
      <c r="D76" s="472">
        <v>15</v>
      </c>
      <c r="E76" s="472"/>
      <c r="F76" s="472">
        <v>300</v>
      </c>
      <c r="G76" s="472">
        <v>85</v>
      </c>
      <c r="H76" s="479">
        <v>5.0000000000000002E-5</v>
      </c>
      <c r="I76" s="473">
        <v>17</v>
      </c>
      <c r="J76" s="477">
        <f>[9]!Rho_(11,D76,F76)</f>
        <v>2.3906621689701297</v>
      </c>
      <c r="K76" s="472">
        <f>[9]!mu_(11,D76,F76)</f>
        <v>1.997806124479504E-5</v>
      </c>
      <c r="L76" s="474">
        <f>G76/1000/J76/(PI()*(C76/1000)^2/4)</f>
        <v>39.160930379497792</v>
      </c>
      <c r="M76" s="475">
        <f>[9]!sound_speed(11,D76,F76)</f>
        <v>1025.5664498865285</v>
      </c>
      <c r="N76" s="476">
        <f>J76*L76*C76/1000/K76</f>
        <v>159329.71787576293</v>
      </c>
      <c r="O76" s="477">
        <f xml:space="preserve"> IF(N76&lt;2000,64/N76,IF(N76&lt;100000,(100*N76)^(-1/4),1/(2*LOG(3.71*C76/1000/H76))^2))</f>
        <v>2.1602365414513776E-2</v>
      </c>
      <c r="P76" s="480">
        <f>(O76*I76*J76*L76^2)/(C76/1000*2)*1000/100000</f>
        <v>198.00015406937749</v>
      </c>
      <c r="Q76" s="478">
        <f>(O76*J76*L76^2)/(C76/1000*2)*1000/100000</f>
        <v>11.647067886433973</v>
      </c>
      <c r="R76" s="92">
        <v>0</v>
      </c>
    </row>
    <row r="77" spans="3:25">
      <c r="C77" s="472">
        <v>34</v>
      </c>
      <c r="D77" s="472">
        <v>10</v>
      </c>
      <c r="E77" s="472"/>
      <c r="F77" s="472">
        <v>300</v>
      </c>
      <c r="G77" s="472">
        <v>54</v>
      </c>
      <c r="H77" s="479">
        <v>5.0000000000000002E-5</v>
      </c>
      <c r="I77" s="473">
        <v>17</v>
      </c>
      <c r="J77" s="477">
        <f>[9]!Rho_(11,D77,F77)</f>
        <v>1.5974049525036866</v>
      </c>
      <c r="K77" s="472">
        <f>[9]!mu_(11,D77,F77)</f>
        <v>1.9960875061733861E-5</v>
      </c>
      <c r="L77" s="474">
        <f>G77/1000/J77/(PI()*(C77/1000)^2/4)</f>
        <v>37.233256123704152</v>
      </c>
      <c r="M77" s="475">
        <f>[9]!sound_speed(11,D77,F77)</f>
        <v>1023.4148626814639</v>
      </c>
      <c r="N77" s="476">
        <f>J77*L77*C77/1000/K77</f>
        <v>101308.38335295983</v>
      </c>
      <c r="O77" s="477">
        <f xml:space="preserve"> IF(N77&lt;2000,64/N77,IF(N77&lt;100000,(100*N77)^(-1/4),1/(2*LOG(3.71*C77/1000/H77))^2))</f>
        <v>2.1602365414513776E-2</v>
      </c>
      <c r="P77" s="480">
        <f>(O77*I77*J77*L77^2)/(C77/1000*2)*1000/100000</f>
        <v>119.59647488033787</v>
      </c>
      <c r="Q77" s="478">
        <f>(O77*J77*L77^2)/(C77/1000*2)*1000/100000</f>
        <v>7.0350867576669351</v>
      </c>
      <c r="R77" s="92">
        <v>1</v>
      </c>
    </row>
    <row r="80" spans="3:25">
      <c r="O80" s="91" t="s">
        <v>558</v>
      </c>
      <c r="Q80" s="333">
        <v>450</v>
      </c>
    </row>
    <row r="82" spans="3:19">
      <c r="P82" s="91" t="s">
        <v>559</v>
      </c>
      <c r="S82" s="91" t="s">
        <v>560</v>
      </c>
    </row>
    <row r="83" spans="3:19">
      <c r="P83" s="91" t="s">
        <v>561</v>
      </c>
    </row>
    <row r="84" spans="3:19">
      <c r="P84" s="481" t="s">
        <v>562</v>
      </c>
      <c r="Q84" s="91">
        <f>450-2*120</f>
        <v>210</v>
      </c>
      <c r="R84" s="91" t="s">
        <v>563</v>
      </c>
    </row>
    <row r="86" spans="3:19">
      <c r="O86" s="95" t="s">
        <v>564</v>
      </c>
    </row>
    <row r="89" spans="3:19">
      <c r="E89" s="95" t="s">
        <v>565</v>
      </c>
    </row>
    <row r="91" spans="3:19">
      <c r="C91" s="472">
        <v>40</v>
      </c>
      <c r="D91" s="472">
        <v>1.2</v>
      </c>
      <c r="E91" s="472"/>
      <c r="F91" s="472">
        <v>300</v>
      </c>
      <c r="G91" s="472">
        <v>33.86</v>
      </c>
      <c r="H91" s="479">
        <v>5.0000000000000002E-5</v>
      </c>
      <c r="I91" s="473">
        <v>10.5</v>
      </c>
      <c r="J91" s="477">
        <f>[9]!Rho_(11,D91,F91)</f>
        <v>0.19245916158711063</v>
      </c>
      <c r="K91" s="472">
        <f>[9]!mu_(11,D91,F91)</f>
        <v>1.9930370684057509E-5</v>
      </c>
      <c r="L91" s="474">
        <f>G91/1000/J91/(PI()*(C91/1000)^2/4)</f>
        <v>140.00337340793257</v>
      </c>
      <c r="M91" s="475">
        <f>[9]!sound_speed(11,D91,F91)</f>
        <v>1019.6374697751924</v>
      </c>
      <c r="N91" s="476">
        <f>J91*L91*C91/1000/K91</f>
        <v>54078.134907970154</v>
      </c>
      <c r="O91" s="477">
        <f xml:space="preserve"> IF(N91&lt;2000,64/N91,IF(N91&lt;100000,(100*N91)^(-1/4),1/(2*LOG(3.71*C91/1000/H91))^2))</f>
        <v>2.0736935353560807E-2</v>
      </c>
      <c r="P91" s="480">
        <f>(O91*I91*J91*L91^2)/(C91/1000*2)*1000/100000</f>
        <v>102.67376219311296</v>
      </c>
      <c r="Q91" s="478">
        <f>(O91*J91*L91^2)/(C91/1000*2)*1000/100000</f>
        <v>9.7784535422012357</v>
      </c>
      <c r="R91" s="92">
        <v>0</v>
      </c>
    </row>
    <row r="92" spans="3:19">
      <c r="R92" s="92">
        <v>1</v>
      </c>
    </row>
    <row r="94" spans="3:19">
      <c r="O94" s="91" t="s">
        <v>566</v>
      </c>
      <c r="P94" s="91">
        <f>(1.3-1.115)*1000</f>
        <v>185.00000000000006</v>
      </c>
      <c r="Q94" s="91" t="s">
        <v>552</v>
      </c>
      <c r="R94" s="91" t="s">
        <v>567</v>
      </c>
    </row>
  </sheetData>
  <mergeCells count="1">
    <mergeCell ref="C62:D62"/>
  </mergeCells>
  <phoneticPr fontId="12" type="noConversion"/>
  <pageMargins left="0.75" right="0.75" top="1" bottom="1" header="0.4921259845" footer="0.4921259845"/>
  <pageSetup paperSize="9" scale="5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Feuil1"/>
  <dimension ref="B4:I30"/>
  <sheetViews>
    <sheetView workbookViewId="0">
      <selection activeCell="I30" sqref="I30"/>
    </sheetView>
  </sheetViews>
  <sheetFormatPr defaultColWidth="11.42578125" defaultRowHeight="12.75"/>
  <cols>
    <col min="1" max="1" width="11.42578125" style="91" customWidth="1"/>
    <col min="2" max="2" width="19.140625" style="91" bestFit="1" customWidth="1"/>
    <col min="3" max="3" width="6.42578125" style="91" customWidth="1"/>
    <col min="4" max="4" width="8.7109375" style="91" bestFit="1" customWidth="1"/>
    <col min="5" max="5" width="6.85546875" style="91" bestFit="1" customWidth="1"/>
    <col min="6" max="6" width="4" style="91" bestFit="1" customWidth="1"/>
    <col min="7" max="7" width="7.5703125" style="91" bestFit="1" customWidth="1"/>
    <col min="8" max="8" width="11.140625" style="91" bestFit="1" customWidth="1"/>
    <col min="9" max="9" width="5.28515625" style="91" customWidth="1"/>
    <col min="10" max="10" width="8.42578125" style="91" bestFit="1" customWidth="1"/>
    <col min="11" max="11" width="6.5703125" style="91" bestFit="1" customWidth="1"/>
    <col min="12" max="12" width="11" style="91" bestFit="1" customWidth="1"/>
    <col min="13" max="13" width="7.5703125" style="91" bestFit="1" customWidth="1"/>
    <col min="14" max="14" width="6.5703125" style="91" bestFit="1" customWidth="1"/>
    <col min="15" max="16" width="9.85546875" style="91" bestFit="1" customWidth="1"/>
    <col min="17" max="16384" width="11.42578125" style="91"/>
  </cols>
  <sheetData>
    <row r="4" spans="2:9" ht="13.5" thickBot="1">
      <c r="B4" s="232" t="s">
        <v>341</v>
      </c>
      <c r="C4" s="231"/>
      <c r="D4" s="231"/>
      <c r="E4" s="231"/>
      <c r="F4" s="231"/>
      <c r="G4" s="231"/>
    </row>
    <row r="6" spans="2:9">
      <c r="B6" s="91" t="s">
        <v>484</v>
      </c>
      <c r="D6" s="91" t="s">
        <v>485</v>
      </c>
    </row>
    <row r="7" spans="2:9">
      <c r="D7" s="91" t="s">
        <v>486</v>
      </c>
    </row>
    <row r="9" spans="2:9" ht="25.5">
      <c r="B9" s="223"/>
      <c r="C9" s="227" t="s">
        <v>333</v>
      </c>
      <c r="D9" s="227" t="s">
        <v>334</v>
      </c>
      <c r="E9" s="227" t="s">
        <v>335</v>
      </c>
      <c r="F9" s="227" t="s">
        <v>274</v>
      </c>
      <c r="G9" s="227" t="s">
        <v>336</v>
      </c>
      <c r="H9" s="419" t="s">
        <v>96</v>
      </c>
    </row>
    <row r="10" spans="2:9">
      <c r="B10" s="225" t="s">
        <v>338</v>
      </c>
      <c r="C10" s="224">
        <v>30</v>
      </c>
      <c r="D10" s="224">
        <v>14</v>
      </c>
      <c r="E10" s="228">
        <v>300</v>
      </c>
      <c r="F10" s="224">
        <v>298</v>
      </c>
      <c r="G10" s="226">
        <f>[9]!Rho_(11,D10,F10)</f>
        <v>2.2471727378221824</v>
      </c>
      <c r="H10" s="225">
        <f>E10*100</f>
        <v>30000</v>
      </c>
    </row>
    <row r="11" spans="2:9">
      <c r="B11" s="225" t="s">
        <v>337</v>
      </c>
      <c r="C11" s="224">
        <v>80</v>
      </c>
      <c r="D11" s="224">
        <v>14</v>
      </c>
      <c r="E11" s="228">
        <v>300</v>
      </c>
      <c r="F11" s="225">
        <v>298</v>
      </c>
      <c r="G11" s="226">
        <f>[9]!Rho_(11,D11,F11)</f>
        <v>2.2471727378221824</v>
      </c>
      <c r="H11" s="225"/>
    </row>
    <row r="14" spans="2:9" s="223" customFormat="1" ht="13.5" thickBot="1">
      <c r="B14" s="232" t="s">
        <v>339</v>
      </c>
      <c r="C14" s="231"/>
      <c r="D14" s="231"/>
      <c r="E14" s="231"/>
      <c r="F14" s="231"/>
      <c r="G14" s="231"/>
      <c r="H14" s="91"/>
      <c r="I14" s="91"/>
    </row>
    <row r="17" spans="2:7">
      <c r="B17" s="225" t="s">
        <v>453</v>
      </c>
      <c r="C17" s="228">
        <v>54.16</v>
      </c>
      <c r="D17" s="228">
        <v>10.5</v>
      </c>
      <c r="E17" s="224">
        <f>E10*(G10/G17)*(C17/C10)^2</f>
        <v>1310.2888889251062</v>
      </c>
      <c r="F17" s="230">
        <v>300</v>
      </c>
      <c r="G17" s="226">
        <f>[9]!Rho_(11,D17,F17)</f>
        <v>1.6768934015837749</v>
      </c>
    </row>
    <row r="18" spans="2:7">
      <c r="B18" s="225" t="s">
        <v>454</v>
      </c>
      <c r="C18" s="228">
        <v>54.16</v>
      </c>
      <c r="D18" s="228">
        <v>10.5</v>
      </c>
      <c r="E18" s="224">
        <f>E11*(G11/G18)*(C18/C11)^2</f>
        <v>184.25937500509306</v>
      </c>
      <c r="F18" s="230">
        <v>300</v>
      </c>
      <c r="G18" s="226">
        <f>[9]!Rho_(11,D18,F18)</f>
        <v>1.6768934015837749</v>
      </c>
    </row>
    <row r="21" spans="2:7" ht="13.5" thickBot="1">
      <c r="B21" s="232" t="s">
        <v>340</v>
      </c>
      <c r="C21" s="232"/>
      <c r="D21" s="232"/>
      <c r="E21" s="232"/>
      <c r="F21" s="232"/>
      <c r="G21" s="232"/>
    </row>
    <row r="23" spans="2:7">
      <c r="B23" s="225" t="s">
        <v>453</v>
      </c>
      <c r="C23" s="228">
        <v>52.56</v>
      </c>
      <c r="D23" s="228">
        <v>13</v>
      </c>
      <c r="E23" s="224">
        <f>E10*(G10/G23)*(C23/C10)^2</f>
        <v>997.83917292735521</v>
      </c>
      <c r="F23" s="230">
        <v>300</v>
      </c>
      <c r="G23" s="226">
        <f>[9]!Rho_(11,D23,F23)</f>
        <v>2.0737928198991367</v>
      </c>
    </row>
    <row r="24" spans="2:7">
      <c r="B24" s="225" t="s">
        <v>453</v>
      </c>
      <c r="C24" s="228">
        <v>52.56</v>
      </c>
      <c r="D24" s="228">
        <v>13</v>
      </c>
      <c r="E24" s="224">
        <f>E11*(G11/G24)*(C24/C11)^2</f>
        <v>140.32113369290934</v>
      </c>
      <c r="F24" s="230">
        <v>300</v>
      </c>
      <c r="G24" s="226">
        <f>[9]!Rho_(11,D24,F24)</f>
        <v>2.0737928198991367</v>
      </c>
    </row>
    <row r="27" spans="2:7" ht="13.5" thickBot="1">
      <c r="B27" s="232" t="s">
        <v>809</v>
      </c>
      <c r="C27" s="232"/>
      <c r="D27" s="232"/>
      <c r="E27" s="232"/>
      <c r="F27" s="232"/>
      <c r="G27" s="232"/>
    </row>
    <row r="29" spans="2:7">
      <c r="B29" s="225" t="s">
        <v>453</v>
      </c>
      <c r="C29" s="228">
        <v>27.6</v>
      </c>
      <c r="D29" s="228">
        <v>10.5</v>
      </c>
      <c r="E29" s="224">
        <f>E10*(G10/G29)*(C29/C10)^2</f>
        <v>340.27332986634229</v>
      </c>
      <c r="F29" s="230">
        <v>300</v>
      </c>
      <c r="G29" s="226">
        <f>[9]!Rho_(11,D29,F29)</f>
        <v>1.6768934015837749</v>
      </c>
    </row>
    <row r="30" spans="2:7">
      <c r="B30" s="225" t="s">
        <v>453</v>
      </c>
      <c r="C30" s="228">
        <v>27.6</v>
      </c>
      <c r="D30" s="228">
        <v>10.5</v>
      </c>
      <c r="E30" s="224">
        <f>E11*(G11/G30)*(C30/C11)^2</f>
        <v>47.850937012454388</v>
      </c>
      <c r="F30" s="230">
        <v>300</v>
      </c>
      <c r="G30" s="226">
        <f>[9]!Rho_(11,D30,F30)</f>
        <v>1.6768934015837749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C10:S85"/>
  <sheetViews>
    <sheetView zoomScale="115" workbookViewId="0">
      <selection activeCell="I78" sqref="I78"/>
    </sheetView>
  </sheetViews>
  <sheetFormatPr defaultRowHeight="12.75"/>
  <cols>
    <col min="1" max="3" width="9.140625" style="91"/>
    <col min="4" max="4" width="20.5703125" style="432" customWidth="1"/>
    <col min="5" max="5" width="11.42578125" style="432" customWidth="1"/>
    <col min="6" max="6" width="16.85546875" style="91" customWidth="1"/>
    <col min="7" max="7" width="15" style="91" customWidth="1"/>
    <col min="8" max="8" width="16.85546875" style="91" customWidth="1"/>
    <col min="9" max="9" width="9.5703125" style="91" bestFit="1" customWidth="1"/>
    <col min="10" max="16384" width="9.140625" style="91"/>
  </cols>
  <sheetData>
    <row r="10" spans="6:19">
      <c r="G10" s="332" t="s">
        <v>966</v>
      </c>
      <c r="H10" s="332" t="s">
        <v>967</v>
      </c>
      <c r="I10" s="332" t="s">
        <v>968</v>
      </c>
      <c r="J10" s="332" t="s">
        <v>969</v>
      </c>
      <c r="K10" s="332" t="s">
        <v>970</v>
      </c>
      <c r="S10" s="1143"/>
    </row>
    <row r="11" spans="6:19">
      <c r="F11" s="95" t="s">
        <v>971</v>
      </c>
      <c r="G11" s="1150">
        <v>235.5</v>
      </c>
      <c r="H11" s="96">
        <v>235.1</v>
      </c>
      <c r="I11" s="96">
        <v>230.5</v>
      </c>
      <c r="J11" s="96">
        <v>231</v>
      </c>
      <c r="K11" s="1149">
        <v>226</v>
      </c>
      <c r="S11" s="1144"/>
    </row>
    <row r="12" spans="6:19">
      <c r="F12" s="95" t="s">
        <v>972</v>
      </c>
      <c r="G12" s="96">
        <v>66.66</v>
      </c>
      <c r="H12" s="96">
        <v>66.31</v>
      </c>
      <c r="I12" s="96">
        <v>64.739999999999995</v>
      </c>
      <c r="J12" s="96">
        <v>64.63</v>
      </c>
      <c r="K12" s="96">
        <v>62.73</v>
      </c>
      <c r="M12" s="95" t="s">
        <v>977</v>
      </c>
      <c r="N12" s="96">
        <f>[9]!Rho_(11,1.22,[9]!T_sat(11,1.22))</f>
        <v>20.542632934933899</v>
      </c>
      <c r="S12" s="1146"/>
    </row>
    <row r="13" spans="6:19">
      <c r="F13" s="95"/>
      <c r="G13" s="96"/>
      <c r="H13" s="96"/>
      <c r="I13" s="96"/>
      <c r="J13" s="96"/>
      <c r="K13" s="96"/>
      <c r="M13" s="95" t="s">
        <v>978</v>
      </c>
      <c r="N13" s="96">
        <f>[9]!Rho_(11,1.22,[9]!T_sat(11,1.22)-0.001)</f>
        <v>120.70953226290538</v>
      </c>
      <c r="S13" s="1147"/>
    </row>
    <row r="14" spans="6:19">
      <c r="F14" s="95" t="s">
        <v>973</v>
      </c>
      <c r="G14" s="96">
        <v>0.37</v>
      </c>
      <c r="H14" s="1149">
        <v>0.35899999999999999</v>
      </c>
      <c r="I14" s="96">
        <v>0.38</v>
      </c>
      <c r="J14" s="1148">
        <v>0.39</v>
      </c>
      <c r="K14" s="96">
        <v>0.4</v>
      </c>
      <c r="M14" s="91" t="s">
        <v>979</v>
      </c>
      <c r="N14" s="91">
        <f>N12/N13</f>
        <v>0.17018235883966512</v>
      </c>
      <c r="S14" s="1145"/>
    </row>
    <row r="15" spans="6:19">
      <c r="F15" s="95" t="s">
        <v>974</v>
      </c>
      <c r="G15" s="96">
        <v>540.79999999999995</v>
      </c>
      <c r="H15" s="96">
        <v>540.70000000000005</v>
      </c>
      <c r="I15" s="96">
        <v>539.5</v>
      </c>
      <c r="J15" s="96">
        <v>538.29999999999995</v>
      </c>
      <c r="K15" s="96">
        <v>533.9</v>
      </c>
    </row>
    <row r="16" spans="6:19">
      <c r="F16" s="95" t="s">
        <v>975</v>
      </c>
      <c r="G16" s="1141">
        <f>(G15-0.74)*(1-G14)</f>
        <v>340.23779999999999</v>
      </c>
      <c r="H16" s="1141">
        <f>(H15-0.74)*(1-H14)</f>
        <v>346.11436000000003</v>
      </c>
      <c r="I16" s="1141">
        <f>(I15-0.74)*(1-I14)</f>
        <v>334.03120000000001</v>
      </c>
      <c r="J16" s="1141">
        <f>(J15-0.74)*(1-J14)</f>
        <v>327.91159999999996</v>
      </c>
      <c r="K16" s="1141">
        <f>(540.8-0.74)*(1-K14)</f>
        <v>324.03599999999994</v>
      </c>
    </row>
    <row r="17" spans="3:12">
      <c r="F17" s="95" t="s">
        <v>976</v>
      </c>
      <c r="G17" s="1142">
        <f>G16*(1-$N$14)</f>
        <v>282.3353286295818</v>
      </c>
      <c r="H17" s="1149">
        <f>H16*(1-$N$14)</f>
        <v>287.21180178691895</v>
      </c>
      <c r="I17" s="1142">
        <f>I16*(1-$N$14)</f>
        <v>277.18498245795604</v>
      </c>
      <c r="J17" s="1141">
        <f>J16*(1-$N$14)</f>
        <v>272.10683042111123</v>
      </c>
      <c r="K17" s="1148">
        <f>K16*(1-$N$14)</f>
        <v>268.89078917103024</v>
      </c>
    </row>
    <row r="18" spans="3:12">
      <c r="H18" s="96"/>
      <c r="I18" s="96"/>
      <c r="J18" s="96"/>
      <c r="K18" s="96"/>
    </row>
    <row r="23" spans="3:12">
      <c r="C23" s="89" t="s">
        <v>435</v>
      </c>
      <c r="D23" s="1151"/>
      <c r="E23" s="1151"/>
      <c r="F23" s="89"/>
      <c r="G23" s="89"/>
      <c r="H23" s="89"/>
      <c r="I23" s="89"/>
      <c r="J23" s="89"/>
      <c r="K23" s="89"/>
    </row>
    <row r="24" spans="3:12">
      <c r="C24" s="92"/>
      <c r="F24" s="92"/>
      <c r="G24" s="92"/>
      <c r="H24" s="92"/>
      <c r="I24" s="92"/>
      <c r="J24" s="92"/>
      <c r="K24" s="92"/>
    </row>
    <row r="25" spans="3:12">
      <c r="C25" s="92"/>
      <c r="F25" s="92"/>
      <c r="G25" s="92"/>
      <c r="H25" s="92"/>
      <c r="I25" s="92"/>
      <c r="J25" s="92"/>
      <c r="K25" s="92"/>
      <c r="L25" s="92"/>
    </row>
    <row r="26" spans="3:12">
      <c r="C26" s="133" t="s">
        <v>244</v>
      </c>
      <c r="D26" s="220"/>
      <c r="E26" s="1155"/>
      <c r="F26" s="167" t="s">
        <v>21</v>
      </c>
      <c r="G26" s="167" t="s">
        <v>168</v>
      </c>
      <c r="H26" s="167" t="s">
        <v>163</v>
      </c>
      <c r="I26" s="92"/>
      <c r="J26" s="92"/>
      <c r="K26" s="92"/>
      <c r="L26" s="92"/>
    </row>
    <row r="27" spans="3:12">
      <c r="C27" s="133" t="s">
        <v>243</v>
      </c>
      <c r="D27" s="220"/>
      <c r="E27" s="1155"/>
      <c r="F27" s="88">
        <f>IF(F26&lt;&gt;"",VLOOKUP(F26,Fluides!$C$2:$H$38,6,FALSE),0)</f>
        <v>11</v>
      </c>
      <c r="G27" s="88">
        <f>IF(G26&lt;&gt;"",VLOOKUP(G26,Fluides!$C$2:$H$38,6,FALSE),0)</f>
        <v>21</v>
      </c>
      <c r="H27" s="88">
        <f>IF(H26&lt;&gt;"",VLOOKUP(H26,Fluides!$C$2:$H$38,6,FALSE),0)</f>
        <v>18</v>
      </c>
      <c r="I27" s="92"/>
      <c r="J27" s="92"/>
      <c r="K27" s="92"/>
      <c r="L27" s="92"/>
    </row>
    <row r="28" spans="3:12">
      <c r="C28" s="850" t="s">
        <v>86</v>
      </c>
      <c r="D28" s="1153"/>
      <c r="E28" s="1154"/>
      <c r="F28" s="851">
        <f>IF($C$32="Nm3/h",44.6153*F32*F45/3600,F32)</f>
        <v>1</v>
      </c>
      <c r="G28" s="851">
        <f>IF($C$32="Nm3/h",44.6153*G32*G45/3600,G32)</f>
        <v>1</v>
      </c>
      <c r="H28" s="851">
        <f>IF($C$32="Nm3/h",44.6153*H32*H45/3600,H32)</f>
        <v>1</v>
      </c>
      <c r="I28" s="92"/>
      <c r="J28" s="92"/>
      <c r="K28" s="92"/>
      <c r="L28" s="92"/>
    </row>
    <row r="29" spans="3:12">
      <c r="C29" s="850" t="s">
        <v>806</v>
      </c>
      <c r="D29" s="1153"/>
      <c r="E29" s="1154"/>
      <c r="F29" s="851">
        <f>F28*3.6</f>
        <v>3.6</v>
      </c>
      <c r="G29" s="851">
        <f>G28*3.6</f>
        <v>3.6</v>
      </c>
      <c r="H29" s="851">
        <f>H28*3.6</f>
        <v>3.6</v>
      </c>
      <c r="I29" s="92"/>
      <c r="J29" s="92"/>
      <c r="K29" s="92"/>
      <c r="L29" s="92"/>
    </row>
    <row r="30" spans="3:12">
      <c r="C30" s="850" t="s">
        <v>803</v>
      </c>
      <c r="D30" s="1153"/>
      <c r="E30" s="1154"/>
      <c r="F30" s="852">
        <f>IF($C$32="g/s",F32*3.6/F43,F32)</f>
        <v>22.156371785839529</v>
      </c>
      <c r="G30" s="852">
        <f>IF($C$32="g/s",G32*3.6/G43,G32)</f>
        <v>3.1636362889912801</v>
      </c>
      <c r="H30" s="852">
        <f>IF($C$32="g/s",H32*3.6/H43,H32)</f>
        <v>5.5161418019892796</v>
      </c>
      <c r="I30" s="92"/>
      <c r="J30" s="92"/>
      <c r="K30" s="92"/>
      <c r="L30" s="92"/>
    </row>
    <row r="31" spans="3:12">
      <c r="C31" s="850" t="s">
        <v>424</v>
      </c>
      <c r="D31" s="1153"/>
      <c r="E31" s="1154"/>
      <c r="F31" s="851">
        <f>F28*3.6/F41*1000</f>
        <v>28.267691697940947</v>
      </c>
      <c r="G31" s="851">
        <f>G28*3.6/G41*1000</f>
        <v>4.449901462337845</v>
      </c>
      <c r="H31" s="851">
        <f>H28*3.6/H41*1000</f>
        <v>8.5164931684470169</v>
      </c>
      <c r="I31" s="92"/>
      <c r="J31" s="92"/>
      <c r="K31" s="92"/>
      <c r="L31" s="92"/>
    </row>
    <row r="32" spans="3:12">
      <c r="C32" s="832" t="s">
        <v>86</v>
      </c>
      <c r="D32" s="1156"/>
      <c r="E32" s="1155"/>
      <c r="F32" s="1157">
        <v>1</v>
      </c>
      <c r="G32" s="1157">
        <v>1</v>
      </c>
      <c r="H32" s="1157">
        <v>1</v>
      </c>
      <c r="I32" s="92"/>
      <c r="J32" s="92"/>
      <c r="K32" s="92"/>
    </row>
    <row r="33" spans="3:15">
      <c r="C33" s="134" t="s">
        <v>271</v>
      </c>
      <c r="D33" s="1155" t="s">
        <v>982</v>
      </c>
      <c r="E33" s="1155" t="s">
        <v>96</v>
      </c>
      <c r="F33" s="1159">
        <f>[9]!T_sat(F27,1.013)</f>
        <v>4.2218391015419625</v>
      </c>
      <c r="G33" s="1159">
        <f>[9]!T_sat(G27,1.013)</f>
        <v>77.360568386037315</v>
      </c>
      <c r="H33" s="1159">
        <f>[9]!T_sat(H27,1.013)</f>
        <v>111.62881592944862</v>
      </c>
      <c r="I33" s="92"/>
    </row>
    <row r="34" spans="3:15">
      <c r="C34" s="134" t="s">
        <v>271</v>
      </c>
      <c r="D34" s="1155"/>
      <c r="E34" s="1155" t="s">
        <v>303</v>
      </c>
      <c r="F34" s="1158">
        <f>F33-273.15</f>
        <v>-268.92816089845803</v>
      </c>
      <c r="G34" s="1158">
        <f>G33-273.15</f>
        <v>-195.78943161396268</v>
      </c>
      <c r="H34" s="1158">
        <f>H33-273.15</f>
        <v>-161.52118407055136</v>
      </c>
      <c r="I34" s="92"/>
    </row>
    <row r="35" spans="3:15">
      <c r="C35" s="134"/>
      <c r="D35" s="1155" t="s">
        <v>983</v>
      </c>
      <c r="E35" s="1155" t="s">
        <v>96</v>
      </c>
      <c r="F35" s="1159">
        <f>[9]!FConstant(F27,9)</f>
        <v>2.1768000000000001</v>
      </c>
      <c r="G35" s="1159">
        <f>[9]!FConstant(G27,9)</f>
        <v>63.15</v>
      </c>
      <c r="H35" s="1159">
        <f>[9]!FConstant(H27,9)</f>
        <v>90.68</v>
      </c>
      <c r="I35" s="92"/>
    </row>
    <row r="36" spans="3:15">
      <c r="C36" s="134"/>
      <c r="D36" s="1155" t="s">
        <v>983</v>
      </c>
      <c r="E36" s="1155" t="s">
        <v>84</v>
      </c>
      <c r="F36" s="1160">
        <f>[9]!FConstant(F27,8)</f>
        <v>5.0418000000000003</v>
      </c>
      <c r="G36" s="1160">
        <f>[9]!FConstant(G27,8)</f>
        <v>12.46298</v>
      </c>
      <c r="H36" s="1160">
        <f>[9]!FConstant(H27,8)</f>
        <v>11.743</v>
      </c>
      <c r="I36" s="92"/>
    </row>
    <row r="37" spans="3:15">
      <c r="C37" s="134"/>
      <c r="D37" s="1155" t="s">
        <v>984</v>
      </c>
      <c r="E37" s="1155" t="s">
        <v>84</v>
      </c>
      <c r="F37" s="1161">
        <f>[9]!FConstant(F27,5)*10^-5</f>
        <v>2.2750000000000001E-3</v>
      </c>
      <c r="G37" s="1161">
        <f>[9]!FConstant(G27,5)*10^-5</f>
        <v>3.3991E-2</v>
      </c>
      <c r="H37" s="1161">
        <f>[9]!FConstant(H27,5)*10^-5</f>
        <v>4.5980000000000007E-2</v>
      </c>
      <c r="I37" s="92"/>
    </row>
    <row r="38" spans="3:15">
      <c r="C38" s="134"/>
      <c r="D38" s="1155" t="s">
        <v>985</v>
      </c>
      <c r="E38" s="1155" t="s">
        <v>96</v>
      </c>
      <c r="F38" s="1152">
        <f>[9]!FConstant(F27,6)</f>
        <v>5.1952999999999996</v>
      </c>
      <c r="G38" s="1152">
        <f>[9]!FConstant(G27,6)</f>
        <v>126.26</v>
      </c>
      <c r="H38" s="1152">
        <f>[9]!FConstant(H27,6)</f>
        <v>190.55500000000001</v>
      </c>
      <c r="I38" s="92"/>
    </row>
    <row r="39" spans="3:15">
      <c r="C39" s="134" t="s">
        <v>240</v>
      </c>
      <c r="D39" s="1155"/>
      <c r="E39" s="1155" t="s">
        <v>84</v>
      </c>
      <c r="F39" s="1161">
        <v>1</v>
      </c>
      <c r="G39" s="1161">
        <v>0.5</v>
      </c>
      <c r="H39" s="1161">
        <v>0.5</v>
      </c>
      <c r="I39" s="92"/>
      <c r="J39" s="92"/>
      <c r="K39" s="92"/>
    </row>
    <row r="40" spans="3:15">
      <c r="C40" s="134" t="s">
        <v>241</v>
      </c>
      <c r="D40" s="1155"/>
      <c r="E40" s="1155" t="s">
        <v>96</v>
      </c>
      <c r="F40" s="1152">
        <v>80</v>
      </c>
      <c r="G40" s="1152">
        <v>80</v>
      </c>
      <c r="H40" s="1152">
        <v>80</v>
      </c>
      <c r="I40" s="92"/>
      <c r="J40" s="92"/>
      <c r="K40" s="92"/>
      <c r="L40" s="92"/>
    </row>
    <row r="41" spans="3:15">
      <c r="C41" s="134" t="s">
        <v>978</v>
      </c>
      <c r="D41" s="1155"/>
      <c r="E41" s="1155" t="s">
        <v>82</v>
      </c>
      <c r="F41" s="1162">
        <f>[9]!Rho_(F27,1.013,F33-0.1)</f>
        <v>127.35387234544619</v>
      </c>
      <c r="G41" s="1162">
        <f>[9]!Rho_(G27,1.013,G33-0.1)</f>
        <v>809.00667811836615</v>
      </c>
      <c r="H41" s="1162">
        <f>[9]!Rho_(H27,1.013,H33-0.1)</f>
        <v>422.7091983514689</v>
      </c>
      <c r="I41" s="92"/>
      <c r="J41" s="92"/>
      <c r="K41" s="92"/>
      <c r="L41" s="92"/>
    </row>
    <row r="42" spans="3:15">
      <c r="C42" s="134" t="s">
        <v>980</v>
      </c>
      <c r="D42" s="1155"/>
      <c r="E42" s="1155" t="s">
        <v>82</v>
      </c>
      <c r="F42" s="1162">
        <f>[9]!Rho_(F27,[9]!P_sat(F27,F33),F33+0.1)</f>
        <v>15.87850908727285</v>
      </c>
      <c r="G42" s="1162">
        <f>[9]!Rho_(G27,[9]!P_sat(G27,G33),G33+0.1)</f>
        <v>4.603587973891905</v>
      </c>
      <c r="H42" s="1162">
        <f>[9]!Rho_(H27,[9]!P_sat(H27,H33),H33+0.1)</f>
        <v>1.8151667364197639</v>
      </c>
      <c r="I42" s="92"/>
      <c r="J42" s="92"/>
      <c r="K42" s="92"/>
    </row>
    <row r="43" spans="3:15">
      <c r="C43" s="134" t="s">
        <v>981</v>
      </c>
      <c r="D43" s="1155"/>
      <c r="E43" s="1155" t="s">
        <v>805</v>
      </c>
      <c r="F43" s="1163">
        <f>[9]!Rho_(F27,1.013,300)</f>
        <v>0.16248147642570315</v>
      </c>
      <c r="G43" s="1163">
        <f>[9]!Rho_(G27,1.013,300)</f>
        <v>1.1379310613319125</v>
      </c>
      <c r="H43" s="1163">
        <f>[9]!Rho_(H27,1.013,300)</f>
        <v>0.65263006812147872</v>
      </c>
      <c r="I43" s="92"/>
      <c r="J43" s="92"/>
      <c r="K43" s="92"/>
    </row>
    <row r="44" spans="3:15">
      <c r="C44" s="134"/>
      <c r="D44" s="1155"/>
      <c r="E44" s="1155"/>
      <c r="F44" s="135">
        <f>F41/F43</f>
        <v>783.80548445890361</v>
      </c>
      <c r="G44" s="135">
        <f>G41/G43</f>
        <v>710.94524581431961</v>
      </c>
      <c r="H44" s="135">
        <f>H41/H43</f>
        <v>647.70107753108766</v>
      </c>
      <c r="I44" s="92"/>
      <c r="J44" s="92"/>
      <c r="K44" s="92"/>
    </row>
    <row r="45" spans="3:15">
      <c r="C45" s="134" t="s">
        <v>227</v>
      </c>
      <c r="D45" s="1155"/>
      <c r="E45" s="1155"/>
      <c r="F45" s="135">
        <f>[9]!FConstant(F27,12)</f>
        <v>4.0026000000000002</v>
      </c>
      <c r="G45" s="135">
        <f>[9]!FConstant(G27,12)</f>
        <v>28.013400000000001</v>
      </c>
      <c r="H45" s="135">
        <f>[9]!FConstant(H27,12)</f>
        <v>16.042000000000002</v>
      </c>
      <c r="I45" s="92"/>
      <c r="J45" s="92"/>
      <c r="K45" s="92"/>
      <c r="O45" s="95"/>
    </row>
    <row r="46" spans="3:15">
      <c r="C46" s="134" t="s">
        <v>246</v>
      </c>
      <c r="D46" s="1155"/>
      <c r="E46" s="1155" t="s">
        <v>251</v>
      </c>
      <c r="F46" s="1164">
        <f>[9]!H_(F27,F39,F40)</f>
        <v>430.96715804238534</v>
      </c>
      <c r="G46" s="1164">
        <f>[9]!H_(G27,G39,G40)</f>
        <v>81.861059829213218</v>
      </c>
      <c r="H46" s="1164">
        <f>[9]!H_(H27,H39,H40)</f>
        <v>0</v>
      </c>
      <c r="I46" s="92"/>
      <c r="J46" s="92"/>
      <c r="K46" s="92"/>
    </row>
    <row r="47" spans="3:15">
      <c r="C47" s="134" t="s">
        <v>247</v>
      </c>
      <c r="D47" s="1155"/>
      <c r="E47" s="1155" t="s">
        <v>251</v>
      </c>
      <c r="F47" s="1164">
        <f>[9]!U_(F27,F39,F40)</f>
        <v>264.49240184769923</v>
      </c>
      <c r="G47" s="1164">
        <f>[9]!U_(G27,G39,G40)</f>
        <v>58.563017065472543</v>
      </c>
      <c r="H47" s="1164">
        <f>[9]!U_(H27,H39,H40)</f>
        <v>0</v>
      </c>
      <c r="I47" s="92"/>
      <c r="J47" s="92"/>
      <c r="K47" s="92"/>
    </row>
    <row r="48" spans="3:15">
      <c r="C48" s="134" t="s">
        <v>248</v>
      </c>
      <c r="D48" s="1155"/>
      <c r="E48" s="1155" t="s">
        <v>251</v>
      </c>
      <c r="F48" s="1164">
        <f>[9]!S_(F27,F39,F40)</f>
        <v>24.747007430267843</v>
      </c>
      <c r="G48" s="1164">
        <f>[9]!S_(G27,G39,G40)</f>
        <v>5.668405092453483</v>
      </c>
      <c r="H48" s="1164">
        <f>[9]!S_(H27,H39,H40)</f>
        <v>0</v>
      </c>
      <c r="I48" s="92"/>
    </row>
    <row r="49" spans="3:12">
      <c r="C49" s="134" t="s">
        <v>245</v>
      </c>
      <c r="D49" s="1155"/>
      <c r="E49" s="1155" t="s">
        <v>251</v>
      </c>
      <c r="F49" s="1164" t="e">
        <f ca="1">Hvap_(F27,F39,F33)</f>
        <v>#NAME?</v>
      </c>
      <c r="G49" s="1164" t="e">
        <f ca="1">Hvap_(G27,G39,G33)</f>
        <v>#NAME?</v>
      </c>
      <c r="H49" s="1165" t="e">
        <f ca="1">Hvap_(H27,H39,H40)</f>
        <v>#NAME?</v>
      </c>
      <c r="I49" s="92"/>
    </row>
    <row r="50" spans="3:12">
      <c r="C50" s="134" t="s">
        <v>245</v>
      </c>
      <c r="D50" s="1155"/>
      <c r="E50" s="1155" t="s">
        <v>251</v>
      </c>
      <c r="F50" s="1164" t="e">
        <f ca="1">Hvap_(F27,F39,F40)</f>
        <v>#NAME?</v>
      </c>
      <c r="G50" s="1164" t="e">
        <f ca="1">Hvap_(G27,G39,G40)</f>
        <v>#NAME?</v>
      </c>
      <c r="H50" s="1164" t="e">
        <f ca="1">Hvap_(H27,H39,H40)</f>
        <v>#NAME?</v>
      </c>
      <c r="I50" s="92"/>
    </row>
    <row r="51" spans="3:12">
      <c r="C51" s="134" t="s">
        <v>249</v>
      </c>
      <c r="D51" s="1155"/>
      <c r="E51" s="1155" t="s">
        <v>251</v>
      </c>
      <c r="F51" s="1164">
        <f>[9]!cp_(F27,F39,F40)</f>
        <v>5.1954637082022659</v>
      </c>
      <c r="G51" s="1159">
        <f>[9]!cp_(G27,G39,G40)</f>
        <v>1.0729110568276643</v>
      </c>
      <c r="H51" s="1164">
        <f>[9]!cp_(H27,H39,H40)</f>
        <v>0</v>
      </c>
      <c r="I51" s="92"/>
    </row>
    <row r="52" spans="3:12">
      <c r="D52" s="91"/>
      <c r="E52" s="91"/>
    </row>
    <row r="53" spans="3:12">
      <c r="D53" s="91"/>
      <c r="E53" s="91"/>
    </row>
    <row r="54" spans="3:12">
      <c r="L54" s="95"/>
    </row>
    <row r="58" spans="3:12">
      <c r="C58" s="91">
        <v>338</v>
      </c>
      <c r="E58" s="432" t="s">
        <v>316</v>
      </c>
      <c r="H58" s="91">
        <v>100</v>
      </c>
    </row>
    <row r="59" spans="3:12">
      <c r="C59" s="91">
        <f>C58-273</f>
        <v>65</v>
      </c>
      <c r="H59" s="91">
        <f>4</f>
        <v>4</v>
      </c>
    </row>
    <row r="60" spans="3:12">
      <c r="E60" s="432" t="s">
        <v>986</v>
      </c>
      <c r="F60" s="1166">
        <v>400</v>
      </c>
      <c r="H60" s="91">
        <f>H59*H58</f>
        <v>400</v>
      </c>
      <c r="L60" s="91">
        <f>21*1.1</f>
        <v>23.1</v>
      </c>
    </row>
    <row r="61" spans="3:12">
      <c r="E61" s="432" t="s">
        <v>987</v>
      </c>
      <c r="F61" s="1166">
        <f>D70-F60</f>
        <v>-24955.968033052046</v>
      </c>
    </row>
    <row r="67" spans="3:14">
      <c r="C67" s="96" t="s">
        <v>988</v>
      </c>
      <c r="D67" s="1167">
        <v>2.5</v>
      </c>
      <c r="H67" s="96" t="s">
        <v>988</v>
      </c>
      <c r="I67" s="1170">
        <v>2.5</v>
      </c>
    </row>
    <row r="68" spans="3:14">
      <c r="C68" s="96" t="s">
        <v>989</v>
      </c>
      <c r="D68" s="1168">
        <f>[9]!T_sat(21,D67)</f>
        <v>85.947537022876503</v>
      </c>
      <c r="H68" s="96" t="s">
        <v>989</v>
      </c>
      <c r="I68" s="1171">
        <f>[9]!T_P_H_(21,I67,I69)</f>
        <v>84.946094062076341</v>
      </c>
    </row>
    <row r="69" spans="3:14">
      <c r="C69" s="96" t="s">
        <v>990</v>
      </c>
      <c r="D69" s="1172">
        <f>[9]!H_(21,D67,D68-0.0001)</f>
        <v>-103.17633627332792</v>
      </c>
      <c r="H69" s="96" t="s">
        <v>993</v>
      </c>
      <c r="I69" s="1172">
        <f>I70/F75</f>
        <v>-105.27717660946237</v>
      </c>
      <c r="L69" s="91">
        <v>80</v>
      </c>
      <c r="M69" s="91">
        <v>79.599999999999994</v>
      </c>
      <c r="N69" s="92">
        <f>L69-M69</f>
        <v>0.40000000000000568</v>
      </c>
    </row>
    <row r="70" spans="3:14">
      <c r="C70" s="96" t="s">
        <v>991</v>
      </c>
      <c r="D70" s="1173">
        <f>D69*F75</f>
        <v>-24555.968033052046</v>
      </c>
      <c r="H70" s="96" t="s">
        <v>992</v>
      </c>
      <c r="I70" s="1173">
        <f>D70-F78</f>
        <v>-25055.968033052046</v>
      </c>
      <c r="L70" s="91">
        <v>45</v>
      </c>
      <c r="M70" s="91">
        <v>44.3</v>
      </c>
      <c r="N70" s="92">
        <f>L70-M70</f>
        <v>0.70000000000000284</v>
      </c>
    </row>
    <row r="71" spans="3:14">
      <c r="C71" s="515" t="s">
        <v>245</v>
      </c>
      <c r="D71" s="1172" t="e">
        <f ca="1">Hvap_(21,D67,D68-0.001)</f>
        <v>#NAME?</v>
      </c>
    </row>
    <row r="75" spans="3:14">
      <c r="F75" s="1175">
        <v>238</v>
      </c>
    </row>
    <row r="76" spans="3:14">
      <c r="F76" s="1169">
        <v>5</v>
      </c>
    </row>
    <row r="77" spans="3:14">
      <c r="F77" s="1174">
        <v>100</v>
      </c>
    </row>
    <row r="78" spans="3:14">
      <c r="F78" s="1166">
        <f>F77*F76</f>
        <v>500</v>
      </c>
    </row>
    <row r="79" spans="3:14">
      <c r="E79" s="1177" t="s">
        <v>994</v>
      </c>
      <c r="F79" s="1176" t="e">
        <f ca="1">F78/D71</f>
        <v>#NAME?</v>
      </c>
      <c r="G79" s="1178" t="e">
        <f ca="1">F79/F75</f>
        <v>#NAME?</v>
      </c>
      <c r="H79" s="1180">
        <f>[9]!Rho_(21,D67,D68+0.00001)</f>
        <v>10.664507637410226</v>
      </c>
      <c r="I79" s="1181" t="e">
        <f ca="1">G79*F75/H79*3600</f>
        <v>#NAME?</v>
      </c>
      <c r="J79" s="515" t="s">
        <v>424</v>
      </c>
    </row>
    <row r="80" spans="3:14">
      <c r="G80" s="1179" t="e">
        <f ca="1">1-G79</f>
        <v>#NAME?</v>
      </c>
      <c r="H80" s="1180">
        <f>[9]!Rho_(21,D67,D68-0.00001)</f>
        <v>767.08353708294442</v>
      </c>
      <c r="I80" s="1181" t="e">
        <f ca="1">G80*F75/H80*3600</f>
        <v>#NAME?</v>
      </c>
      <c r="J80" s="515" t="s">
        <v>424</v>
      </c>
    </row>
    <row r="81" spans="12:12">
      <c r="L81" s="91">
        <f>21.16</f>
        <v>21.16</v>
      </c>
    </row>
    <row r="82" spans="12:12">
      <c r="L82" s="91">
        <v>3.5</v>
      </c>
    </row>
    <row r="83" spans="12:12">
      <c r="L83" s="91">
        <f>PI()*(L82^2/4)*L81</f>
        <v>203.58305793425257</v>
      </c>
    </row>
    <row r="84" spans="12:12">
      <c r="L84" s="91">
        <v>128</v>
      </c>
    </row>
    <row r="85" spans="12:12">
      <c r="L85" s="91">
        <f>L83-L84</f>
        <v>75.583057934252565</v>
      </c>
    </row>
  </sheetData>
  <protectedRanges>
    <protectedRange sqref="F32:H32 C32:D32 F28:H29" name="Process_1"/>
  </protectedRanges>
  <dataValidations count="2">
    <dataValidation type="list" allowBlank="1" showInputMessage="1" showErrorMessage="1" sqref="C32:D32">
      <formula1>$B$8:$B$10</formula1>
    </dataValidation>
    <dataValidation type="list" allowBlank="1" showInputMessage="1" showErrorMessage="1" sqref="F26:H26">
      <formula1>GP_fluides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Feuil11"/>
  <dimension ref="B4:I16"/>
  <sheetViews>
    <sheetView workbookViewId="0">
      <selection activeCell="B4" sqref="B4:G16"/>
    </sheetView>
  </sheetViews>
  <sheetFormatPr defaultColWidth="11.42578125" defaultRowHeight="12.75"/>
  <cols>
    <col min="1" max="1" width="11.42578125" style="91" customWidth="1"/>
    <col min="2" max="2" width="19.140625" style="91" bestFit="1" customWidth="1"/>
    <col min="3" max="3" width="6.42578125" style="91" customWidth="1"/>
    <col min="4" max="4" width="8.7109375" style="91" bestFit="1" customWidth="1"/>
    <col min="5" max="5" width="6.85546875" style="91" bestFit="1" customWidth="1"/>
    <col min="6" max="6" width="4" style="91" bestFit="1" customWidth="1"/>
    <col min="7" max="7" width="7.5703125" style="91" bestFit="1" customWidth="1"/>
    <col min="8" max="8" width="11.140625" style="91" bestFit="1" customWidth="1"/>
    <col min="9" max="9" width="5.28515625" style="91" customWidth="1"/>
    <col min="10" max="10" width="8.42578125" style="91" bestFit="1" customWidth="1"/>
    <col min="11" max="11" width="6.5703125" style="91" bestFit="1" customWidth="1"/>
    <col min="12" max="12" width="11" style="91" bestFit="1" customWidth="1"/>
    <col min="13" max="13" width="7.5703125" style="91" bestFit="1" customWidth="1"/>
    <col min="14" max="14" width="6.5703125" style="91" bestFit="1" customWidth="1"/>
    <col min="15" max="16" width="9.85546875" style="91" bestFit="1" customWidth="1"/>
    <col min="17" max="16384" width="11.42578125" style="91"/>
  </cols>
  <sheetData>
    <row r="4" spans="2:9" ht="13.5" thickBot="1">
      <c r="B4" s="232" t="s">
        <v>959</v>
      </c>
      <c r="C4" s="231"/>
      <c r="D4" s="231"/>
      <c r="E4" s="231"/>
      <c r="F4" s="231"/>
      <c r="G4" s="231"/>
    </row>
    <row r="6" spans="2:9">
      <c r="B6" s="91" t="s">
        <v>484</v>
      </c>
      <c r="D6" s="91" t="s">
        <v>485</v>
      </c>
    </row>
    <row r="7" spans="2:9">
      <c r="D7" s="91" t="s">
        <v>486</v>
      </c>
    </row>
    <row r="9" spans="2:9" ht="25.5">
      <c r="B9" s="223"/>
      <c r="C9" s="227" t="s">
        <v>333</v>
      </c>
      <c r="D9" s="227" t="s">
        <v>334</v>
      </c>
      <c r="E9" s="227" t="s">
        <v>335</v>
      </c>
      <c r="F9" s="227" t="s">
        <v>274</v>
      </c>
      <c r="G9" s="227" t="s">
        <v>336</v>
      </c>
    </row>
    <row r="10" spans="2:9">
      <c r="B10" s="225" t="s">
        <v>958</v>
      </c>
      <c r="C10" s="224">
        <v>41</v>
      </c>
      <c r="D10" s="224">
        <v>1.2</v>
      </c>
      <c r="E10" s="228">
        <v>20</v>
      </c>
      <c r="F10" s="224">
        <v>300</v>
      </c>
      <c r="G10" s="226">
        <f>[9]!Rho_(11,D10,F10)</f>
        <v>0.19245916158711063</v>
      </c>
    </row>
    <row r="13" spans="2:9" s="223" customFormat="1" ht="13.5" thickBot="1">
      <c r="B13" s="232" t="s">
        <v>339</v>
      </c>
      <c r="C13" s="231"/>
      <c r="D13" s="231"/>
      <c r="E13" s="231"/>
      <c r="F13" s="231"/>
      <c r="G13" s="231"/>
      <c r="H13" s="91"/>
      <c r="I13" s="91"/>
    </row>
    <row r="15" spans="2:9" ht="25.5">
      <c r="C15" s="227" t="s">
        <v>333</v>
      </c>
      <c r="D15" s="227" t="s">
        <v>334</v>
      </c>
      <c r="E15" s="227" t="s">
        <v>335</v>
      </c>
      <c r="F15" s="227" t="s">
        <v>274</v>
      </c>
      <c r="G15" s="227" t="s">
        <v>336</v>
      </c>
    </row>
    <row r="16" spans="2:9">
      <c r="B16" s="225" t="s">
        <v>958</v>
      </c>
      <c r="C16" s="228">
        <v>45.72</v>
      </c>
      <c r="D16" s="228">
        <v>1.119</v>
      </c>
      <c r="E16" s="224">
        <f>E10*(G10/G16)*(C16/C10)^2</f>
        <v>26.313807271998382</v>
      </c>
      <c r="F16" s="230">
        <v>296</v>
      </c>
      <c r="G16" s="226">
        <f>[9]!Rho_(11,D16,F16)</f>
        <v>0.1818987127604148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Feuil16"/>
  <dimension ref="A2:G41"/>
  <sheetViews>
    <sheetView topLeftCell="A10" workbookViewId="0">
      <selection activeCell="E30" sqref="E30"/>
    </sheetView>
  </sheetViews>
  <sheetFormatPr defaultColWidth="11.42578125" defaultRowHeight="12.75"/>
  <cols>
    <col min="1" max="1" width="11.42578125" style="91" customWidth="1"/>
    <col min="2" max="2" width="19.140625" style="91" bestFit="1" customWidth="1"/>
    <col min="3" max="3" width="6.42578125" style="91" customWidth="1"/>
    <col min="4" max="4" width="8.7109375" style="91" bestFit="1" customWidth="1"/>
    <col min="5" max="5" width="6.85546875" style="91" bestFit="1" customWidth="1"/>
    <col min="6" max="6" width="4" style="91" bestFit="1" customWidth="1"/>
    <col min="7" max="7" width="7.5703125" style="91" bestFit="1" customWidth="1"/>
    <col min="8" max="8" width="11.140625" style="91" bestFit="1" customWidth="1"/>
    <col min="9" max="9" width="5.28515625" style="91" customWidth="1"/>
    <col min="10" max="10" width="8.42578125" style="91" bestFit="1" customWidth="1"/>
    <col min="11" max="11" width="6.5703125" style="91" bestFit="1" customWidth="1"/>
    <col min="12" max="12" width="11" style="91" bestFit="1" customWidth="1"/>
    <col min="13" max="13" width="7.5703125" style="91" bestFit="1" customWidth="1"/>
    <col min="14" max="14" width="6.5703125" style="91" bestFit="1" customWidth="1"/>
    <col min="15" max="16" width="9.85546875" style="91" bestFit="1" customWidth="1"/>
    <col min="17" max="16384" width="11.42578125" style="91"/>
  </cols>
  <sheetData>
    <row r="2" spans="1:7" ht="13.5" thickBot="1">
      <c r="B2" s="232" t="s">
        <v>582</v>
      </c>
      <c r="C2" s="231"/>
      <c r="D2" s="231"/>
      <c r="E2" s="231"/>
      <c r="F2" s="231"/>
      <c r="G2" s="231"/>
    </row>
    <row r="3" spans="1:7" ht="7.5" customHeight="1"/>
    <row r="5" spans="1:7" ht="25.5">
      <c r="B5" s="223"/>
      <c r="C5" s="419" t="s">
        <v>333</v>
      </c>
      <c r="D5" s="419" t="s">
        <v>334</v>
      </c>
      <c r="E5" s="419" t="s">
        <v>335</v>
      </c>
      <c r="F5" s="419" t="s">
        <v>274</v>
      </c>
      <c r="G5" s="419" t="s">
        <v>336</v>
      </c>
    </row>
    <row r="6" spans="1:7" ht="5.25" customHeight="1"/>
    <row r="7" spans="1:7">
      <c r="A7" s="332"/>
      <c r="B7" s="225" t="s">
        <v>508</v>
      </c>
      <c r="C7" s="224">
        <v>30</v>
      </c>
      <c r="D7" s="224">
        <v>15</v>
      </c>
      <c r="E7" s="228">
        <v>30</v>
      </c>
      <c r="F7" s="224">
        <v>81</v>
      </c>
      <c r="G7" s="226">
        <f>[9]!Rho_(11,D7,F7)</f>
        <v>8.6853335820461499</v>
      </c>
    </row>
    <row r="8" spans="1:7" ht="12.75" customHeight="1">
      <c r="A8" s="92"/>
      <c r="B8" s="225" t="s">
        <v>511</v>
      </c>
      <c r="C8" s="224">
        <v>74</v>
      </c>
      <c r="D8" s="224">
        <v>14.4</v>
      </c>
      <c r="E8" s="228">
        <v>15</v>
      </c>
      <c r="F8" s="224">
        <v>60</v>
      </c>
      <c r="G8" s="226">
        <f>[9]!Rho_(11,D8,F8)</f>
        <v>11.196377694779628</v>
      </c>
    </row>
    <row r="9" spans="1:7" ht="12.75" customHeight="1">
      <c r="A9" s="92"/>
    </row>
    <row r="10" spans="1:7" ht="12.75" customHeight="1" thickBot="1">
      <c r="A10" s="92"/>
      <c r="B10" s="232" t="s">
        <v>583</v>
      </c>
      <c r="C10" s="231"/>
      <c r="D10" s="231"/>
      <c r="E10" s="231"/>
      <c r="F10" s="231"/>
      <c r="G10" s="231"/>
    </row>
    <row r="11" spans="1:7" ht="7.5" customHeight="1">
      <c r="A11" s="92"/>
    </row>
    <row r="12" spans="1:7" ht="12.75" customHeight="1">
      <c r="A12" s="92"/>
    </row>
    <row r="13" spans="1:7" ht="25.5">
      <c r="A13" s="92"/>
      <c r="C13" s="419" t="s">
        <v>333</v>
      </c>
      <c r="D13" s="419" t="s">
        <v>334</v>
      </c>
      <c r="E13" s="419" t="s">
        <v>335</v>
      </c>
      <c r="F13" s="419" t="s">
        <v>274</v>
      </c>
      <c r="G13" s="419" t="s">
        <v>336</v>
      </c>
    </row>
    <row r="14" spans="1:7" ht="4.5" customHeight="1">
      <c r="A14" s="92"/>
    </row>
    <row r="15" spans="1:7">
      <c r="A15" s="332"/>
      <c r="B15" s="225" t="s">
        <v>509</v>
      </c>
      <c r="C15" s="224">
        <v>7</v>
      </c>
      <c r="D15" s="224">
        <v>15</v>
      </c>
      <c r="E15" s="228">
        <v>2</v>
      </c>
      <c r="F15" s="224">
        <v>18</v>
      </c>
      <c r="G15" s="226">
        <f>[9]!Rho_(11,D15,F15)</f>
        <v>40.373783213748823</v>
      </c>
    </row>
    <row r="16" spans="1:7">
      <c r="B16" s="225" t="s">
        <v>510</v>
      </c>
      <c r="C16" s="224">
        <v>38</v>
      </c>
      <c r="D16" s="224">
        <v>14.4</v>
      </c>
      <c r="E16" s="228">
        <v>5</v>
      </c>
      <c r="F16" s="420">
        <v>60</v>
      </c>
      <c r="G16" s="226">
        <f>[9]!Rho_(11,D16,F16)</f>
        <v>11.196377694779628</v>
      </c>
    </row>
    <row r="19" spans="2:7" ht="13.5" thickBot="1">
      <c r="B19" s="232" t="s">
        <v>339</v>
      </c>
      <c r="C19" s="231"/>
      <c r="D19" s="231"/>
      <c r="E19" s="231"/>
      <c r="F19" s="231"/>
      <c r="G19" s="231"/>
    </row>
    <row r="21" spans="2:7" ht="25.5">
      <c r="C21" s="419" t="s">
        <v>333</v>
      </c>
      <c r="D21" s="419" t="s">
        <v>334</v>
      </c>
      <c r="E21" s="419" t="s">
        <v>335</v>
      </c>
      <c r="F21" s="419" t="s">
        <v>274</v>
      </c>
      <c r="G21" s="419" t="s">
        <v>336</v>
      </c>
    </row>
    <row r="22" spans="2:7">
      <c r="B22" s="225" t="s">
        <v>508</v>
      </c>
      <c r="C22" s="228">
        <v>50.46</v>
      </c>
      <c r="D22" s="228">
        <v>9.9282704166832332</v>
      </c>
      <c r="E22" s="224">
        <f>E7*(G7/G22)*(C22/C7)^2</f>
        <v>68.635105867062705</v>
      </c>
      <c r="F22" s="230">
        <v>43.38</v>
      </c>
      <c r="G22" s="226">
        <f>[9]!Rho_(11,D22,F22)</f>
        <v>10.740226320579421</v>
      </c>
    </row>
    <row r="23" spans="2:7">
      <c r="B23" s="225" t="s">
        <v>511</v>
      </c>
      <c r="C23" s="228">
        <v>50.46</v>
      </c>
      <c r="D23" s="228">
        <v>9.9282704166832332</v>
      </c>
      <c r="E23" s="224">
        <f>E8*(G8/G23)*(C23/C8)^2</f>
        <v>7.2708706631042048</v>
      </c>
      <c r="F23" s="230">
        <v>43.38</v>
      </c>
      <c r="G23" s="226">
        <f>[9]!Rho_(11,D23,F23)</f>
        <v>10.740226320579421</v>
      </c>
    </row>
    <row r="26" spans="2:7" ht="13.5" thickBot="1">
      <c r="B26" s="232" t="s">
        <v>809</v>
      </c>
      <c r="C26" s="231"/>
      <c r="D26" s="231"/>
      <c r="E26" s="231"/>
      <c r="F26" s="231"/>
      <c r="G26" s="231"/>
    </row>
    <row r="28" spans="2:7" ht="25.5">
      <c r="C28" s="419" t="s">
        <v>333</v>
      </c>
      <c r="D28" s="419" t="s">
        <v>334</v>
      </c>
      <c r="E28" s="419" t="s">
        <v>335</v>
      </c>
      <c r="F28" s="419" t="s">
        <v>274</v>
      </c>
      <c r="G28" s="419" t="s">
        <v>336</v>
      </c>
    </row>
    <row r="29" spans="2:7">
      <c r="B29" s="225" t="s">
        <v>508</v>
      </c>
      <c r="C29" s="228">
        <v>24.05</v>
      </c>
      <c r="D29" s="228">
        <v>9.8450000000000006</v>
      </c>
      <c r="E29" s="224">
        <f>E7*(G7/G29)*(C29/C7)^2</f>
        <v>15.719800545131726</v>
      </c>
      <c r="F29" s="230">
        <v>43.38</v>
      </c>
      <c r="G29" s="226">
        <f>[9]!Rho_(11,D29,F29)</f>
        <v>10.652422386587288</v>
      </c>
    </row>
    <row r="30" spans="2:7">
      <c r="B30" s="225" t="s">
        <v>511</v>
      </c>
      <c r="C30" s="228">
        <v>24.05</v>
      </c>
      <c r="D30" s="228">
        <v>9.8450000000000006</v>
      </c>
      <c r="E30" s="224">
        <f>E8*(G8/G30)*(C30/C8)^2</f>
        <v>1.6652795267020568</v>
      </c>
      <c r="F30" s="230">
        <v>43.38</v>
      </c>
      <c r="G30" s="226">
        <f>[9]!Rho_(11,D30,F30)</f>
        <v>10.652422386587288</v>
      </c>
    </row>
    <row r="36" spans="2:7" ht="13.5" thickBot="1">
      <c r="B36" s="421" t="s">
        <v>340</v>
      </c>
      <c r="C36" s="421"/>
      <c r="D36" s="421"/>
      <c r="E36" s="421"/>
      <c r="F36" s="421"/>
      <c r="G36" s="421"/>
    </row>
    <row r="37" spans="2:7">
      <c r="B37" s="504"/>
      <c r="C37" s="504"/>
      <c r="D37" s="504"/>
      <c r="E37" s="504"/>
      <c r="F37" s="504"/>
      <c r="G37" s="504"/>
    </row>
    <row r="38" spans="2:7">
      <c r="B38" s="504"/>
      <c r="C38" s="504"/>
      <c r="D38" s="504"/>
      <c r="E38" s="504"/>
      <c r="F38" s="504"/>
      <c r="G38" s="504"/>
    </row>
    <row r="39" spans="2:7" ht="25.5">
      <c r="B39" s="422"/>
      <c r="C39" s="505" t="s">
        <v>333</v>
      </c>
      <c r="D39" s="505" t="s">
        <v>334</v>
      </c>
      <c r="E39" s="505" t="s">
        <v>335</v>
      </c>
      <c r="F39" s="505" t="s">
        <v>274</v>
      </c>
      <c r="G39" s="505" t="s">
        <v>336</v>
      </c>
    </row>
    <row r="40" spans="2:7">
      <c r="B40" s="423" t="s">
        <v>453</v>
      </c>
      <c r="C40" s="424">
        <v>52.56</v>
      </c>
      <c r="D40" s="424">
        <v>13</v>
      </c>
      <c r="E40" s="420">
        <f>E7*(G7/G40)*(C40/C7)^2</f>
        <v>385.66532657859665</v>
      </c>
      <c r="F40" s="425">
        <v>300</v>
      </c>
      <c r="G40" s="426">
        <f>[9]!Rho_(11,D40,F40)</f>
        <v>2.0737928198991367</v>
      </c>
    </row>
    <row r="41" spans="2:7">
      <c r="B41" s="423" t="s">
        <v>453</v>
      </c>
      <c r="C41" s="424">
        <v>52.56</v>
      </c>
      <c r="D41" s="424">
        <v>13</v>
      </c>
      <c r="E41" s="420">
        <f>E15*(G15/G41)*(C41/C15)^2</f>
        <v>2195.2233271844766</v>
      </c>
      <c r="F41" s="425">
        <v>300</v>
      </c>
      <c r="G41" s="426">
        <f>[9]!Rho_(11,D41,F41)</f>
        <v>2.0737928198991367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Feuil17">
    <pageSetUpPr fitToPage="1"/>
  </sheetPr>
  <dimension ref="B5:P120"/>
  <sheetViews>
    <sheetView topLeftCell="A25" zoomScale="85" zoomScaleNormal="100" workbookViewId="0">
      <selection activeCell="D50" sqref="D50"/>
    </sheetView>
  </sheetViews>
  <sheetFormatPr defaultColWidth="11.42578125" defaultRowHeight="12.75"/>
  <cols>
    <col min="1" max="1" width="3.140625" style="91" customWidth="1"/>
    <col min="2" max="2" width="11.42578125" style="91" customWidth="1"/>
    <col min="3" max="3" width="15.140625" style="91" bestFit="1" customWidth="1"/>
    <col min="4" max="4" width="11.5703125" style="91" bestFit="1" customWidth="1"/>
    <col min="5" max="5" width="15.42578125" style="91" bestFit="1" customWidth="1"/>
    <col min="6" max="6" width="11.5703125" style="91" bestFit="1" customWidth="1"/>
    <col min="7" max="7" width="4.28515625" style="91" customWidth="1"/>
    <col min="8" max="8" width="11.85546875" style="91" customWidth="1"/>
    <col min="9" max="9" width="9.5703125" style="91" customWidth="1"/>
    <col min="10" max="10" width="8.140625" style="91" customWidth="1"/>
    <col min="11" max="11" width="9.5703125" style="91" customWidth="1"/>
    <col min="12" max="12" width="11.28515625" style="91" bestFit="1" customWidth="1"/>
    <col min="13" max="13" width="9.7109375" style="91" customWidth="1"/>
    <col min="14" max="14" width="9.5703125" style="91" bestFit="1" customWidth="1"/>
    <col min="15" max="15" width="13.7109375" style="91" customWidth="1"/>
    <col min="16" max="16" width="11.5703125" style="91" customWidth="1"/>
    <col min="17" max="17" width="3.28515625" style="91" customWidth="1"/>
    <col min="18" max="16384" width="11.42578125" style="91"/>
  </cols>
  <sheetData>
    <row r="5" spans="2:16" ht="13.5" thickBot="1"/>
    <row r="6" spans="2:16" s="223" customFormat="1" ht="40.5" customHeight="1" thickBot="1">
      <c r="B6" s="1267" t="s">
        <v>586</v>
      </c>
      <c r="C6" s="1268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8"/>
      <c r="P6" s="1269"/>
    </row>
    <row r="12" spans="2:16" ht="13.5" thickBot="1">
      <c r="B12" s="232" t="s">
        <v>584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</row>
    <row r="15" spans="2:16">
      <c r="B15" s="333"/>
      <c r="H15" s="91" t="s">
        <v>486</v>
      </c>
    </row>
    <row r="17" spans="2:16">
      <c r="H17" s="427" t="s">
        <v>466</v>
      </c>
      <c r="I17" s="428">
        <v>30</v>
      </c>
      <c r="J17" s="429">
        <v>15</v>
      </c>
      <c r="K17" s="428">
        <v>81</v>
      </c>
      <c r="L17" s="430"/>
      <c r="M17" s="428">
        <f>[9]!Rho_(11,J17,K17)</f>
        <v>8.6853335820461499</v>
      </c>
      <c r="N17" s="428">
        <v>30</v>
      </c>
      <c r="O17" s="96" t="s">
        <v>512</v>
      </c>
    </row>
    <row r="19" spans="2:16">
      <c r="C19" s="229" t="s">
        <v>499</v>
      </c>
      <c r="D19" s="229" t="s">
        <v>500</v>
      </c>
      <c r="E19" s="229" t="s">
        <v>501</v>
      </c>
      <c r="F19" s="229" t="s">
        <v>502</v>
      </c>
      <c r="H19" s="437" t="s">
        <v>479</v>
      </c>
      <c r="I19" s="55" t="s">
        <v>316</v>
      </c>
      <c r="J19" s="55" t="s">
        <v>458</v>
      </c>
      <c r="K19" s="55" t="s">
        <v>493</v>
      </c>
      <c r="L19" s="55" t="s">
        <v>492</v>
      </c>
      <c r="M19" s="55" t="s">
        <v>483</v>
      </c>
      <c r="N19" s="55" t="s">
        <v>480</v>
      </c>
    </row>
    <row r="20" spans="2:16">
      <c r="B20" s="408" t="s">
        <v>459</v>
      </c>
      <c r="C20" s="403">
        <f>N25</f>
        <v>79.930000000000007</v>
      </c>
      <c r="D20" s="404" t="s">
        <v>503</v>
      </c>
      <c r="E20" s="403">
        <f>N20</f>
        <v>27.95</v>
      </c>
      <c r="F20" s="409">
        <f>+N31</f>
        <v>11.77</v>
      </c>
      <c r="H20" s="438" t="s">
        <v>576</v>
      </c>
      <c r="I20" s="416">
        <v>37.26</v>
      </c>
      <c r="J20" s="416">
        <v>14.57</v>
      </c>
      <c r="K20" s="416">
        <v>300</v>
      </c>
      <c r="L20" s="416">
        <v>79</v>
      </c>
      <c r="M20" s="416">
        <f>[9]!Rho_(11,J20,K20)</f>
        <v>2.3225839562419281</v>
      </c>
      <c r="N20" s="502">
        <v>27.95</v>
      </c>
    </row>
    <row r="21" spans="2:16">
      <c r="B21" s="408" t="s">
        <v>464</v>
      </c>
      <c r="C21" s="403">
        <f>N26</f>
        <v>12.26</v>
      </c>
      <c r="D21" s="404" t="s">
        <v>503</v>
      </c>
      <c r="E21" s="403">
        <f>N21</f>
        <v>6.37</v>
      </c>
      <c r="F21" s="404" t="s">
        <v>503</v>
      </c>
      <c r="H21" s="438" t="s">
        <v>577</v>
      </c>
      <c r="I21" s="416">
        <v>37.26</v>
      </c>
      <c r="J21" s="416">
        <v>14.542</v>
      </c>
      <c r="K21" s="416">
        <v>79.290000000000006</v>
      </c>
      <c r="L21" s="416">
        <v>37.549999999999997</v>
      </c>
      <c r="M21" s="416">
        <f>[9]!Rho_(11,J21,K21)</f>
        <v>8.6045932440909265</v>
      </c>
      <c r="N21" s="502">
        <v>6.37</v>
      </c>
      <c r="P21" s="432"/>
    </row>
    <row r="22" spans="2:16">
      <c r="B22" s="408" t="s">
        <v>466</v>
      </c>
      <c r="C22" s="404"/>
      <c r="D22" s="404"/>
      <c r="E22" s="411">
        <f>N22</f>
        <v>22.413357555844073</v>
      </c>
      <c r="F22" s="404"/>
      <c r="H22" s="439" t="s">
        <v>466</v>
      </c>
      <c r="I22" s="428">
        <f>I21</f>
        <v>37.26</v>
      </c>
      <c r="J22" s="429">
        <f>J21-N21/1000</f>
        <v>14.535629999999999</v>
      </c>
      <c r="K22" s="428">
        <f>L21</f>
        <v>37.549999999999997</v>
      </c>
      <c r="L22" s="428">
        <f>K22</f>
        <v>37.549999999999997</v>
      </c>
      <c r="M22" s="428">
        <f>[9]!Rho_(11,J22,K22)</f>
        <v>17.932631750875878</v>
      </c>
      <c r="N22" s="502">
        <f>N17*(M17/M22)*(I22/I17)^2</f>
        <v>22.413357555844073</v>
      </c>
      <c r="O22" s="431" t="s">
        <v>488</v>
      </c>
      <c r="P22" s="440">
        <f>SUM(N20:N24)</f>
        <v>64.573357555844069</v>
      </c>
    </row>
    <row r="23" spans="2:16">
      <c r="B23" s="408" t="s">
        <v>473</v>
      </c>
      <c r="C23" s="404" t="s">
        <v>504</v>
      </c>
      <c r="D23" s="404" t="s">
        <v>503</v>
      </c>
      <c r="E23" s="411">
        <f>N23</f>
        <v>1.47</v>
      </c>
      <c r="F23" s="404" t="s">
        <v>503</v>
      </c>
      <c r="H23" s="438" t="s">
        <v>578</v>
      </c>
      <c r="I23" s="416">
        <v>9.6</v>
      </c>
      <c r="J23" s="416">
        <v>14.536</v>
      </c>
      <c r="K23" s="416">
        <v>37.549999999999997</v>
      </c>
      <c r="L23" s="416">
        <v>13.97</v>
      </c>
      <c r="M23" s="416">
        <f>[9]!Rho_(11,J23,K23)</f>
        <v>17.933070361089158</v>
      </c>
      <c r="N23" s="502">
        <v>1.47</v>
      </c>
      <c r="P23" s="432"/>
    </row>
    <row r="24" spans="2:16">
      <c r="B24" s="408" t="s">
        <v>474</v>
      </c>
      <c r="C24" s="404" t="s">
        <v>504</v>
      </c>
      <c r="D24" s="409">
        <f>+N30</f>
        <v>7.85</v>
      </c>
      <c r="E24" s="412" t="s">
        <v>505</v>
      </c>
      <c r="F24" s="404" t="s">
        <v>503</v>
      </c>
      <c r="H24" s="438" t="s">
        <v>579</v>
      </c>
      <c r="I24" s="416">
        <f>I23</f>
        <v>9.6</v>
      </c>
      <c r="J24" s="416">
        <v>14.534000000000001</v>
      </c>
      <c r="K24" s="416">
        <v>13.97</v>
      </c>
      <c r="L24" s="416">
        <v>5.9</v>
      </c>
      <c r="M24" s="416">
        <v>0.59</v>
      </c>
      <c r="N24" s="502">
        <v>6.37</v>
      </c>
    </row>
    <row r="25" spans="2:16">
      <c r="B25" s="408" t="s">
        <v>477</v>
      </c>
      <c r="C25" s="403">
        <f>N27</f>
        <v>11.28</v>
      </c>
      <c r="D25" s="404" t="s">
        <v>503</v>
      </c>
      <c r="E25" s="411">
        <f>N24</f>
        <v>6.37</v>
      </c>
      <c r="F25" s="404" t="s">
        <v>503</v>
      </c>
      <c r="H25" s="438" t="s">
        <v>572</v>
      </c>
      <c r="I25" s="416">
        <v>33.86</v>
      </c>
      <c r="J25" s="416">
        <v>1.276</v>
      </c>
      <c r="K25" s="416">
        <v>78.5</v>
      </c>
      <c r="L25" s="416">
        <v>297</v>
      </c>
      <c r="M25" s="416">
        <f>[9]!Rho_(11,J25,K25)</f>
        <v>0.78071642776127803</v>
      </c>
      <c r="N25" s="502">
        <v>79.930000000000007</v>
      </c>
      <c r="P25" s="432"/>
    </row>
    <row r="26" spans="2:16">
      <c r="B26" s="408" t="s">
        <v>478</v>
      </c>
      <c r="C26" s="403">
        <f>N28</f>
        <v>1.18</v>
      </c>
      <c r="D26" s="404" t="s">
        <v>503</v>
      </c>
      <c r="E26" s="405" t="s">
        <v>506</v>
      </c>
      <c r="F26" s="404" t="s">
        <v>503</v>
      </c>
      <c r="H26" s="438" t="s">
        <v>573</v>
      </c>
      <c r="I26" s="416">
        <v>33.86</v>
      </c>
      <c r="J26" s="416">
        <v>1.288</v>
      </c>
      <c r="K26" s="416">
        <v>10.97</v>
      </c>
      <c r="L26" s="416">
        <v>78.5</v>
      </c>
      <c r="M26" s="416">
        <f>[9]!Rho_(11,J26,K26)</f>
        <v>5.8046013486558792</v>
      </c>
      <c r="N26" s="502">
        <v>12.26</v>
      </c>
      <c r="O26" s="431" t="s">
        <v>487</v>
      </c>
      <c r="P26" s="440">
        <f>SUM(N25:N28)</f>
        <v>104.65000000000002</v>
      </c>
    </row>
    <row r="27" spans="2:16">
      <c r="C27" s="406">
        <f>SUM(C20:C26)</f>
        <v>104.65000000000002</v>
      </c>
      <c r="D27" s="407">
        <f>SUM(D20:D26)</f>
        <v>7.85</v>
      </c>
      <c r="E27" s="406">
        <f>SUM(E20:E26)</f>
        <v>64.573357555844069</v>
      </c>
      <c r="F27" s="407">
        <f>SUM(F20:F26)</f>
        <v>11.77</v>
      </c>
      <c r="H27" s="438" t="s">
        <v>574</v>
      </c>
      <c r="I27" s="416">
        <v>33.86</v>
      </c>
      <c r="J27" s="416">
        <v>1.3</v>
      </c>
      <c r="K27" s="416">
        <v>9.23</v>
      </c>
      <c r="L27" s="416">
        <v>10.97</v>
      </c>
      <c r="M27" s="416">
        <f>[9]!Rho_(11,J27,K27)</f>
        <v>7.0987211886720205</v>
      </c>
      <c r="N27" s="502">
        <v>11.28</v>
      </c>
      <c r="P27" s="432"/>
    </row>
    <row r="28" spans="2:16">
      <c r="H28" s="438" t="s">
        <v>575</v>
      </c>
      <c r="I28" s="416">
        <v>6.42</v>
      </c>
      <c r="J28" s="416">
        <v>1.3</v>
      </c>
      <c r="K28" s="416">
        <v>4.5</v>
      </c>
      <c r="L28" s="416">
        <v>9.23</v>
      </c>
      <c r="M28" s="416">
        <f>[9]!Rho_(11,J28,K28)</f>
        <v>22.032640426004637</v>
      </c>
      <c r="N28" s="502">
        <v>1.18</v>
      </c>
      <c r="P28" s="432"/>
    </row>
    <row r="30" spans="2:16">
      <c r="H30" s="438" t="s">
        <v>580</v>
      </c>
      <c r="I30" s="416">
        <v>27.55</v>
      </c>
      <c r="J30" s="416">
        <v>6</v>
      </c>
      <c r="K30" s="416">
        <v>29.56</v>
      </c>
      <c r="L30" s="416">
        <v>13.97</v>
      </c>
      <c r="M30" s="416">
        <f>[9]!Rho_(11,J30,K30)</f>
        <v>9.6345912404602121</v>
      </c>
      <c r="N30" s="502">
        <v>7.85</v>
      </c>
    </row>
    <row r="31" spans="2:16">
      <c r="H31" s="438" t="s">
        <v>581</v>
      </c>
      <c r="I31" s="416">
        <v>10.24</v>
      </c>
      <c r="J31" s="416">
        <v>1.25</v>
      </c>
      <c r="K31" s="416">
        <v>79.19</v>
      </c>
      <c r="L31" s="416">
        <v>297</v>
      </c>
      <c r="M31" s="416">
        <f>[9]!Rho_(21,J31,K31)</f>
        <v>800.05935919422848</v>
      </c>
      <c r="N31" s="502">
        <v>11.77</v>
      </c>
    </row>
    <row r="32" spans="2:16" ht="13.5" thickBot="1">
      <c r="B32" s="232" t="s">
        <v>585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</row>
    <row r="33" spans="2:16">
      <c r="C33" s="406"/>
      <c r="D33" s="407"/>
      <c r="E33" s="406"/>
      <c r="F33" s="407"/>
      <c r="P33" s="432"/>
    </row>
    <row r="34" spans="2:16">
      <c r="P34" s="432"/>
    </row>
    <row r="35" spans="2:16">
      <c r="C35" s="229" t="s">
        <v>499</v>
      </c>
      <c r="D35" s="229" t="s">
        <v>500</v>
      </c>
      <c r="E35" s="229" t="s">
        <v>501</v>
      </c>
      <c r="F35" s="229" t="s">
        <v>502</v>
      </c>
      <c r="H35" s="437" t="s">
        <v>479</v>
      </c>
      <c r="I35" s="55" t="s">
        <v>316</v>
      </c>
      <c r="J35" s="55" t="s">
        <v>458</v>
      </c>
      <c r="K35" s="55" t="s">
        <v>493</v>
      </c>
      <c r="L35" s="55" t="s">
        <v>492</v>
      </c>
      <c r="M35" s="55" t="s">
        <v>483</v>
      </c>
      <c r="N35" s="55" t="s">
        <v>480</v>
      </c>
      <c r="P35" s="432"/>
    </row>
    <row r="36" spans="2:16">
      <c r="B36" s="408" t="s">
        <v>459</v>
      </c>
      <c r="C36" s="403">
        <f>N41</f>
        <v>145.92110248010553</v>
      </c>
      <c r="D36" s="404" t="s">
        <v>503</v>
      </c>
      <c r="E36" s="403">
        <f>N36</f>
        <v>74.38463429032636</v>
      </c>
      <c r="F36" s="411">
        <f>+N47</f>
        <v>22.063407020568846</v>
      </c>
      <c r="H36" s="438" t="s">
        <v>576</v>
      </c>
      <c r="I36" s="414">
        <v>50.46</v>
      </c>
      <c r="J36" s="414">
        <v>10.02</v>
      </c>
      <c r="K36" s="414">
        <v>300</v>
      </c>
      <c r="L36" s="414">
        <v>81.19</v>
      </c>
      <c r="M36" s="415">
        <f>[9]!Rho_(11,J36,K36)</f>
        <v>1.6005851860513709</v>
      </c>
      <c r="N36" s="502">
        <f t="shared" ref="N36:N44" si="0">N20*(M20/M36)*(I36/I20)^2</f>
        <v>74.38463429032636</v>
      </c>
    </row>
    <row r="37" spans="2:16">
      <c r="B37" s="408" t="s">
        <v>464</v>
      </c>
      <c r="C37" s="403">
        <f>N42</f>
        <v>14.965118289578006</v>
      </c>
      <c r="D37" s="410" t="s">
        <v>503</v>
      </c>
      <c r="E37" s="411">
        <f>N37</f>
        <v>17.337437031583594</v>
      </c>
      <c r="F37" s="410" t="s">
        <v>503</v>
      </c>
      <c r="H37" s="438" t="s">
        <v>577</v>
      </c>
      <c r="I37" s="416">
        <f>I36</f>
        <v>50.46</v>
      </c>
      <c r="J37" s="415">
        <v>9.9499999999999993</v>
      </c>
      <c r="K37" s="416">
        <f>+L36</f>
        <v>81.19</v>
      </c>
      <c r="L37" s="417">
        <v>43.38</v>
      </c>
      <c r="M37" s="416">
        <f>[9]!Rho_(11,J37,K37)</f>
        <v>5.7982064140935998</v>
      </c>
      <c r="N37" s="502">
        <f t="shared" si="0"/>
        <v>17.337437031583594</v>
      </c>
      <c r="P37" s="432"/>
    </row>
    <row r="38" spans="2:16">
      <c r="B38" s="408" t="s">
        <v>466</v>
      </c>
      <c r="C38" s="404" t="s">
        <v>504</v>
      </c>
      <c r="D38" s="410" t="s">
        <v>503</v>
      </c>
      <c r="E38" s="411">
        <f>N38</f>
        <v>68.489034970055627</v>
      </c>
      <c r="F38" s="410" t="s">
        <v>503</v>
      </c>
      <c r="H38" s="439" t="s">
        <v>466</v>
      </c>
      <c r="I38" s="428">
        <f>I37</f>
        <v>50.46</v>
      </c>
      <c r="J38" s="429">
        <v>9.9499999999999993</v>
      </c>
      <c r="K38" s="428">
        <f>L37</f>
        <v>43.38</v>
      </c>
      <c r="L38" s="428">
        <f>K38</f>
        <v>43.38</v>
      </c>
      <c r="M38" s="428">
        <f>[9]!Rho_(11,J38,K38)</f>
        <v>10.763132680603215</v>
      </c>
      <c r="N38" s="502">
        <f t="shared" si="0"/>
        <v>68.489034970055627</v>
      </c>
      <c r="O38" s="431" t="s">
        <v>488</v>
      </c>
      <c r="P38" s="440">
        <f>SUM(N36:N40)</f>
        <v>164.34221851085852</v>
      </c>
    </row>
    <row r="39" spans="2:16">
      <c r="B39" s="408" t="s">
        <v>473</v>
      </c>
      <c r="C39" s="404" t="s">
        <v>504</v>
      </c>
      <c r="D39" s="410" t="s">
        <v>503</v>
      </c>
      <c r="E39" s="411">
        <f>+N39</f>
        <v>3.8698723634353263</v>
      </c>
      <c r="F39" s="410" t="s">
        <v>503</v>
      </c>
      <c r="H39" s="438" t="s">
        <v>578</v>
      </c>
      <c r="I39" s="414">
        <v>12.03</v>
      </c>
      <c r="J39" s="416">
        <v>9.8849999999999998</v>
      </c>
      <c r="K39" s="417">
        <f>43.37</f>
        <v>43.37</v>
      </c>
      <c r="L39" s="417">
        <v>36.54</v>
      </c>
      <c r="M39" s="416">
        <f>[9]!Rho_(11,J39,K39)</f>
        <v>10.697052677840281</v>
      </c>
      <c r="N39" s="502">
        <f t="shared" si="0"/>
        <v>3.8698723634353263</v>
      </c>
      <c r="P39" s="432"/>
    </row>
    <row r="40" spans="2:16">
      <c r="B40" s="408" t="s">
        <v>474</v>
      </c>
      <c r="C40" s="404" t="s">
        <v>504</v>
      </c>
      <c r="D40" s="411">
        <f>+N46</f>
        <v>18.638539009284624</v>
      </c>
      <c r="E40" s="412" t="s">
        <v>505</v>
      </c>
      <c r="F40" s="410" t="s">
        <v>503</v>
      </c>
      <c r="H40" s="438" t="s">
        <v>579</v>
      </c>
      <c r="I40" s="414">
        <v>12.03</v>
      </c>
      <c r="J40" s="416">
        <v>9.8800000000000008</v>
      </c>
      <c r="K40" s="417">
        <v>20.92</v>
      </c>
      <c r="L40" s="417">
        <v>6.75</v>
      </c>
      <c r="M40" s="416">
        <f>[9]!Rho_(11,J40,K40)</f>
        <v>22.591277891192156</v>
      </c>
      <c r="N40" s="502">
        <f t="shared" si="0"/>
        <v>0.26123985545764095</v>
      </c>
    </row>
    <row r="41" spans="2:16">
      <c r="B41" s="408" t="s">
        <v>477</v>
      </c>
      <c r="C41" s="403">
        <f>N43</f>
        <v>12.191543450214152</v>
      </c>
      <c r="D41" s="410" t="s">
        <v>503</v>
      </c>
      <c r="E41" s="411">
        <f>+N40</f>
        <v>0.26123985545764095</v>
      </c>
      <c r="F41" s="410" t="s">
        <v>503</v>
      </c>
      <c r="H41" s="438" t="s">
        <v>572</v>
      </c>
      <c r="I41" s="414">
        <v>45.75</v>
      </c>
      <c r="J41" s="416">
        <v>1.276</v>
      </c>
      <c r="K41" s="418">
        <f>L42</f>
        <v>78.5</v>
      </c>
      <c r="L41" s="417">
        <v>297</v>
      </c>
      <c r="M41" s="416">
        <f>[9]!Rho_(11,J41,K41)</f>
        <v>0.78071642776127803</v>
      </c>
      <c r="N41" s="502">
        <f t="shared" si="0"/>
        <v>145.92110248010553</v>
      </c>
    </row>
    <row r="42" spans="2:16">
      <c r="B42" s="408" t="s">
        <v>478</v>
      </c>
      <c r="C42" s="403">
        <f>N44</f>
        <v>1.18</v>
      </c>
      <c r="D42" s="404" t="s">
        <v>503</v>
      </c>
      <c r="E42" s="405" t="s">
        <v>506</v>
      </c>
      <c r="F42" s="404" t="s">
        <v>503</v>
      </c>
      <c r="H42" s="438" t="s">
        <v>573</v>
      </c>
      <c r="I42" s="416">
        <v>33.86</v>
      </c>
      <c r="J42" s="416">
        <v>1.288</v>
      </c>
      <c r="K42" s="416">
        <f>L43</f>
        <v>13.22</v>
      </c>
      <c r="L42" s="417">
        <v>78.5</v>
      </c>
      <c r="M42" s="416">
        <f>[9]!Rho_(11,J42,K42)</f>
        <v>4.7553524908708091</v>
      </c>
      <c r="N42" s="502">
        <f t="shared" si="0"/>
        <v>14.965118289578006</v>
      </c>
    </row>
    <row r="43" spans="2:16">
      <c r="C43" s="406">
        <f>SUM(C36:C42)</f>
        <v>174.25776421989769</v>
      </c>
      <c r="D43" s="407">
        <f>SUM(D36:D42)</f>
        <v>18.638539009284624</v>
      </c>
      <c r="E43" s="406">
        <f>SUM(E36:E42)</f>
        <v>164.34221851085852</v>
      </c>
      <c r="F43" s="407">
        <f>SUM(F36:F42)</f>
        <v>22.063407020568846</v>
      </c>
      <c r="H43" s="438" t="s">
        <v>574</v>
      </c>
      <c r="I43" s="416">
        <v>33.86</v>
      </c>
      <c r="J43" s="416">
        <v>1.3</v>
      </c>
      <c r="K43" s="416">
        <f>L44</f>
        <v>9.89</v>
      </c>
      <c r="L43" s="417">
        <v>13.22</v>
      </c>
      <c r="M43" s="416">
        <f>[9]!Rho_(11,J43,K43)</f>
        <v>6.5679604338213506</v>
      </c>
      <c r="N43" s="502">
        <f t="shared" si="0"/>
        <v>12.191543450214152</v>
      </c>
      <c r="O43" s="431" t="s">
        <v>487</v>
      </c>
      <c r="P43" s="440">
        <f>SUM(N41:N44)</f>
        <v>174.25776421989769</v>
      </c>
    </row>
    <row r="44" spans="2:16">
      <c r="H44" s="438" t="s">
        <v>575</v>
      </c>
      <c r="I44" s="416">
        <v>6.42</v>
      </c>
      <c r="J44" s="416">
        <v>1.3</v>
      </c>
      <c r="K44" s="417">
        <v>4.5</v>
      </c>
      <c r="L44" s="416">
        <v>9.89</v>
      </c>
      <c r="M44" s="416">
        <f>[9]!Rho_(11,J44,K44)</f>
        <v>22.032640426004637</v>
      </c>
      <c r="N44" s="502">
        <f t="shared" si="0"/>
        <v>1.18</v>
      </c>
    </row>
    <row r="46" spans="2:16">
      <c r="H46" s="438" t="s">
        <v>580</v>
      </c>
      <c r="I46" s="414">
        <v>36.58</v>
      </c>
      <c r="J46" s="414">
        <v>5.55</v>
      </c>
      <c r="K46" s="414">
        <v>36.81</v>
      </c>
      <c r="L46" s="414">
        <v>14.92</v>
      </c>
      <c r="M46" s="416">
        <f>[9]!Rho_(11,J46,K46)</f>
        <v>7.1537750485092646</v>
      </c>
      <c r="N46" s="502">
        <f>N30*(M30/M46)*(I46/I30)^2</f>
        <v>18.638539009284624</v>
      </c>
    </row>
    <row r="47" spans="2:16">
      <c r="H47" s="438" t="s">
        <v>581</v>
      </c>
      <c r="I47" s="414">
        <v>14.02</v>
      </c>
      <c r="J47" s="414">
        <v>1.25</v>
      </c>
      <c r="K47" s="414">
        <v>79.19</v>
      </c>
      <c r="L47" s="414">
        <v>292</v>
      </c>
      <c r="M47" s="416">
        <f>[9]!Rho_(21,J47,K47)</f>
        <v>800.05935919422848</v>
      </c>
      <c r="N47" s="502">
        <f>N31*(M31/M47)*(I47/I31)^2</f>
        <v>22.063407020568846</v>
      </c>
    </row>
    <row r="49" spans="2:16">
      <c r="H49" s="95" t="s">
        <v>514</v>
      </c>
    </row>
    <row r="50" spans="2:16">
      <c r="H50" s="427" t="s">
        <v>466</v>
      </c>
      <c r="I50" s="428">
        <f>+I22</f>
        <v>37.26</v>
      </c>
      <c r="J50" s="428">
        <f>+J22</f>
        <v>14.535629999999999</v>
      </c>
      <c r="K50" s="428">
        <f>+K22</f>
        <v>37.549999999999997</v>
      </c>
      <c r="L50" s="428">
        <f>+L22</f>
        <v>37.549999999999997</v>
      </c>
      <c r="M50" s="428">
        <f>+M22</f>
        <v>17.932631750875878</v>
      </c>
      <c r="N50" s="428">
        <v>80</v>
      </c>
      <c r="O50" s="441" t="s">
        <v>513</v>
      </c>
    </row>
    <row r="52" spans="2:16">
      <c r="H52" s="427" t="s">
        <v>466</v>
      </c>
      <c r="I52" s="428">
        <f>I38</f>
        <v>50.46</v>
      </c>
      <c r="J52" s="428">
        <f>J38</f>
        <v>9.9499999999999993</v>
      </c>
      <c r="K52" s="428">
        <f>K38</f>
        <v>43.38</v>
      </c>
      <c r="L52" s="428">
        <f>L38</f>
        <v>43.38</v>
      </c>
      <c r="M52" s="428">
        <f>M38</f>
        <v>10.763132680603215</v>
      </c>
      <c r="N52" s="428">
        <f>N50*(M50/M52)*(I52/I50)^2</f>
        <v>244.45792130665492</v>
      </c>
    </row>
    <row r="54" spans="2:16" ht="13.5" thickBot="1">
      <c r="B54" s="232" t="s">
        <v>516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</row>
    <row r="56" spans="2:16">
      <c r="C56" s="229" t="s">
        <v>499</v>
      </c>
      <c r="D56" s="229" t="s">
        <v>500</v>
      </c>
      <c r="E56" s="229" t="s">
        <v>501</v>
      </c>
      <c r="F56" s="229" t="s">
        <v>502</v>
      </c>
    </row>
    <row r="57" spans="2:16">
      <c r="B57" s="408" t="s">
        <v>459</v>
      </c>
      <c r="C57" s="403">
        <v>135.19999999999999</v>
      </c>
      <c r="D57" s="410" t="s">
        <v>503</v>
      </c>
      <c r="E57" s="411">
        <v>74.38463429032636</v>
      </c>
      <c r="F57" s="411">
        <v>0</v>
      </c>
    </row>
    <row r="58" spans="2:16">
      <c r="B58" s="408" t="s">
        <v>464</v>
      </c>
      <c r="C58" s="403">
        <v>25.5</v>
      </c>
      <c r="D58" s="410" t="s">
        <v>503</v>
      </c>
      <c r="E58" s="411">
        <v>14.6</v>
      </c>
      <c r="F58" s="410" t="s">
        <v>503</v>
      </c>
    </row>
    <row r="59" spans="2:16">
      <c r="B59" s="408" t="s">
        <v>466</v>
      </c>
      <c r="C59" s="404" t="s">
        <v>504</v>
      </c>
      <c r="D59" s="404" t="s">
        <v>503</v>
      </c>
      <c r="E59" s="411">
        <v>50</v>
      </c>
      <c r="F59" s="404" t="s">
        <v>503</v>
      </c>
    </row>
    <row r="60" spans="2:16">
      <c r="B60" s="408" t="s">
        <v>473</v>
      </c>
      <c r="C60" s="404" t="s">
        <v>504</v>
      </c>
      <c r="D60" s="410" t="s">
        <v>503</v>
      </c>
      <c r="E60" s="411">
        <v>5.1690000000000005</v>
      </c>
      <c r="F60" s="410" t="s">
        <v>503</v>
      </c>
    </row>
    <row r="61" spans="2:16">
      <c r="B61" s="408" t="s">
        <v>474</v>
      </c>
      <c r="C61" s="404" t="s">
        <v>504</v>
      </c>
      <c r="D61" s="411">
        <v>0</v>
      </c>
      <c r="E61" s="412" t="s">
        <v>505</v>
      </c>
      <c r="F61" s="410" t="s">
        <v>503</v>
      </c>
    </row>
    <row r="62" spans="2:16">
      <c r="B62" s="408" t="s">
        <v>477</v>
      </c>
      <c r="C62" s="403">
        <v>17.14</v>
      </c>
      <c r="D62" s="410" t="s">
        <v>503</v>
      </c>
      <c r="E62" s="411">
        <v>2.66</v>
      </c>
      <c r="F62" s="410" t="s">
        <v>503</v>
      </c>
    </row>
    <row r="63" spans="2:16">
      <c r="B63" s="408" t="s">
        <v>478</v>
      </c>
      <c r="C63" s="403">
        <v>0.73150000000000004</v>
      </c>
      <c r="D63" s="410" t="s">
        <v>503</v>
      </c>
      <c r="E63" s="412" t="s">
        <v>506</v>
      </c>
      <c r="F63" s="410" t="s">
        <v>503</v>
      </c>
    </row>
    <row r="64" spans="2:16">
      <c r="C64" s="406">
        <v>178.57149999999999</v>
      </c>
      <c r="D64" s="407">
        <v>0</v>
      </c>
      <c r="E64" s="406">
        <v>146.81363429032638</v>
      </c>
      <c r="F64" s="407">
        <v>0</v>
      </c>
    </row>
    <row r="117" spans="6:13">
      <c r="F117" s="94"/>
      <c r="G117" s="94"/>
      <c r="H117" s="94"/>
      <c r="I117" s="94"/>
      <c r="J117" s="94"/>
      <c r="K117" s="94"/>
      <c r="L117" s="94"/>
      <c r="M117" s="94"/>
    </row>
    <row r="119" spans="6:13">
      <c r="F119" s="94"/>
      <c r="G119" s="94"/>
      <c r="H119" s="94"/>
      <c r="I119" s="94"/>
      <c r="J119" s="94"/>
      <c r="K119" s="94"/>
    </row>
    <row r="120" spans="6:13">
      <c r="F120" s="94"/>
      <c r="G120" s="94"/>
      <c r="H120" s="94"/>
      <c r="I120" s="94"/>
      <c r="J120" s="94"/>
      <c r="K120" s="94"/>
    </row>
  </sheetData>
  <mergeCells count="1">
    <mergeCell ref="B6:P6"/>
  </mergeCells>
  <phoneticPr fontId="12" type="noConversion"/>
  <pageMargins left="0.28000000000000003" right="0.27" top="1" bottom="1" header="0.4921259845" footer="0.4921259845"/>
  <pageSetup paperSize="9" scale="5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Feuil20"/>
  <dimension ref="B6:AY120"/>
  <sheetViews>
    <sheetView topLeftCell="A2" workbookViewId="0">
      <selection activeCell="B56" sqref="B56:F64"/>
    </sheetView>
  </sheetViews>
  <sheetFormatPr defaultColWidth="11.42578125" defaultRowHeight="12.75"/>
  <cols>
    <col min="1" max="1" width="3.140625" style="91" customWidth="1"/>
    <col min="2" max="2" width="11.42578125" style="91" customWidth="1"/>
    <col min="3" max="3" width="11.85546875" style="91" bestFit="1" customWidth="1"/>
    <col min="4" max="4" width="11.42578125" style="91" customWidth="1"/>
    <col min="5" max="5" width="11.85546875" style="91" bestFit="1" customWidth="1"/>
    <col min="6" max="6" width="11.42578125" style="91" customWidth="1"/>
    <col min="7" max="7" width="4.28515625" style="91" customWidth="1"/>
    <col min="8" max="8" width="11.85546875" style="91" customWidth="1"/>
    <col min="9" max="9" width="9.5703125" style="91" customWidth="1"/>
    <col min="10" max="10" width="8.140625" style="91" customWidth="1"/>
    <col min="11" max="11" width="9.5703125" style="91" customWidth="1"/>
    <col min="12" max="12" width="8.28515625" style="91" customWidth="1"/>
    <col min="13" max="13" width="9.7109375" style="91" customWidth="1"/>
    <col min="14" max="14" width="9.42578125" style="91" bestFit="1" customWidth="1"/>
    <col min="15" max="15" width="13.7109375" style="91" customWidth="1"/>
    <col min="16" max="16" width="11.5703125" style="91" customWidth="1"/>
    <col min="17" max="18" width="11.42578125" style="91" customWidth="1"/>
    <col min="19" max="19" width="9.140625" style="91" bestFit="1" customWidth="1"/>
    <col min="20" max="20" width="6.7109375" style="91" bestFit="1" customWidth="1"/>
    <col min="21" max="21" width="8.28515625" style="91" bestFit="1" customWidth="1"/>
    <col min="22" max="22" width="12.85546875" style="91" bestFit="1" customWidth="1"/>
    <col min="23" max="23" width="8.42578125" style="91" bestFit="1" customWidth="1"/>
    <col min="24" max="24" width="11.28515625" style="91" bestFit="1" customWidth="1"/>
    <col min="25" max="25" width="8.7109375" style="91" bestFit="1" customWidth="1"/>
    <col min="26" max="26" width="10.85546875" style="91" bestFit="1" customWidth="1"/>
    <col min="27" max="27" width="6.85546875" style="91" bestFit="1" customWidth="1"/>
    <col min="28" max="28" width="12.28515625" style="91" bestFit="1" customWidth="1"/>
    <col min="29" max="29" width="10" style="91" bestFit="1" customWidth="1"/>
    <col min="30" max="30" width="10.5703125" style="91" bestFit="1" customWidth="1"/>
    <col min="31" max="31" width="9.140625" style="91" bestFit="1" customWidth="1"/>
    <col min="32" max="32" width="8.28515625" style="91" bestFit="1" customWidth="1"/>
    <col min="33" max="33" width="12.85546875" style="91" bestFit="1" customWidth="1"/>
    <col min="34" max="34" width="8.42578125" style="91" bestFit="1" customWidth="1"/>
    <col min="35" max="35" width="11.28515625" style="91" bestFit="1" customWidth="1"/>
    <col min="36" max="36" width="8.7109375" style="91" bestFit="1" customWidth="1"/>
    <col min="37" max="37" width="10.85546875" style="91" bestFit="1" customWidth="1"/>
    <col min="38" max="38" width="6.85546875" style="91" bestFit="1" customWidth="1"/>
    <col min="39" max="39" width="12.28515625" style="91" bestFit="1" customWidth="1"/>
    <col min="40" max="40" width="9.7109375" style="91" bestFit="1" customWidth="1"/>
    <col min="41" max="41" width="16.28515625" style="91" bestFit="1" customWidth="1"/>
    <col min="42" max="42" width="11.42578125" style="91" customWidth="1"/>
    <col min="43" max="43" width="8.28515625" style="91" bestFit="1" customWidth="1"/>
    <col min="44" max="44" width="12.85546875" style="91" bestFit="1" customWidth="1"/>
    <col min="45" max="45" width="8.42578125" style="91" bestFit="1" customWidth="1"/>
    <col min="46" max="46" width="11.85546875" style="91" bestFit="1" customWidth="1"/>
    <col min="47" max="47" width="8.7109375" style="91" bestFit="1" customWidth="1"/>
    <col min="48" max="48" width="7.28515625" style="91" bestFit="1" customWidth="1"/>
    <col min="49" max="49" width="11.42578125" style="91" customWidth="1"/>
    <col min="50" max="50" width="12.28515625" style="91" bestFit="1" customWidth="1"/>
    <col min="51" max="51" width="9.7109375" style="91" bestFit="1" customWidth="1"/>
    <col min="52" max="16384" width="11.42578125" style="91"/>
  </cols>
  <sheetData>
    <row r="6" spans="2:50">
      <c r="S6" s="380" t="s">
        <v>491</v>
      </c>
      <c r="T6" s="380"/>
      <c r="U6" s="380"/>
      <c r="V6" s="380"/>
      <c r="W6" s="380"/>
      <c r="X6" s="380"/>
      <c r="Y6" s="380"/>
      <c r="Z6" s="380"/>
      <c r="AE6" s="380" t="s">
        <v>490</v>
      </c>
      <c r="AF6" s="380"/>
      <c r="AG6" s="380"/>
      <c r="AH6" s="380"/>
      <c r="AI6" s="380"/>
      <c r="AJ6" s="380"/>
      <c r="AK6" s="380"/>
    </row>
    <row r="8" spans="2:50" ht="13.5" thickBot="1"/>
    <row r="9" spans="2:50" ht="13.5" thickBot="1">
      <c r="U9" s="396" t="s">
        <v>455</v>
      </c>
      <c r="V9" s="395"/>
      <c r="W9" s="397" t="s">
        <v>456</v>
      </c>
      <c r="X9" s="398"/>
      <c r="Y9" s="395" t="s">
        <v>457</v>
      </c>
      <c r="Z9" s="399"/>
      <c r="AA9" s="395" t="s">
        <v>482</v>
      </c>
      <c r="AB9" s="399"/>
      <c r="AF9" s="396" t="s">
        <v>455</v>
      </c>
      <c r="AG9" s="395"/>
      <c r="AH9" s="397" t="s">
        <v>456</v>
      </c>
      <c r="AI9" s="398"/>
      <c r="AJ9" s="395" t="s">
        <v>457</v>
      </c>
      <c r="AK9" s="399"/>
      <c r="AL9" s="395" t="s">
        <v>482</v>
      </c>
      <c r="AM9" s="399"/>
      <c r="AQ9" s="334" t="s">
        <v>455</v>
      </c>
      <c r="AR9" s="335"/>
      <c r="AS9" s="336" t="s">
        <v>456</v>
      </c>
      <c r="AT9" s="337"/>
      <c r="AU9" s="335" t="s">
        <v>457</v>
      </c>
      <c r="AV9" s="338"/>
      <c r="AW9" s="395" t="s">
        <v>482</v>
      </c>
      <c r="AX9" s="399"/>
    </row>
    <row r="10" spans="2:50">
      <c r="S10" s="339"/>
      <c r="T10" s="433"/>
      <c r="U10" s="400" t="s">
        <v>460</v>
      </c>
      <c r="V10" s="385">
        <f>V11-V16/1000</f>
        <v>1.1214285000000002</v>
      </c>
      <c r="W10" s="401" t="s">
        <v>458</v>
      </c>
      <c r="X10" s="383">
        <v>10.02</v>
      </c>
      <c r="Y10" s="386"/>
      <c r="Z10" s="387"/>
      <c r="AA10" s="340" t="s">
        <v>458</v>
      </c>
      <c r="AB10" s="341">
        <v>1.25</v>
      </c>
      <c r="AE10" s="339"/>
      <c r="AF10" s="400" t="s">
        <v>460</v>
      </c>
      <c r="AG10" s="385">
        <f>AG11-AG16/1000</f>
        <v>1.1214285000000002</v>
      </c>
      <c r="AH10" s="400" t="s">
        <v>458</v>
      </c>
      <c r="AI10" s="402">
        <f>X10</f>
        <v>10.02</v>
      </c>
      <c r="AJ10" s="386"/>
      <c r="AK10" s="387"/>
      <c r="AL10" s="340" t="s">
        <v>458</v>
      </c>
      <c r="AM10" s="341">
        <v>1.25</v>
      </c>
      <c r="AP10" s="339"/>
      <c r="AQ10" s="400" t="s">
        <v>460</v>
      </c>
      <c r="AR10" s="385">
        <f>AR11-AR16/1000</f>
        <v>1.1766985000000001</v>
      </c>
      <c r="AS10" s="340" t="s">
        <v>458</v>
      </c>
      <c r="AT10" s="368">
        <v>14.57</v>
      </c>
      <c r="AU10" s="386"/>
      <c r="AV10" s="387"/>
      <c r="AW10" s="340" t="s">
        <v>458</v>
      </c>
      <c r="AX10" s="368">
        <v>1.25</v>
      </c>
    </row>
    <row r="11" spans="2:50">
      <c r="S11" s="343" t="s">
        <v>459</v>
      </c>
      <c r="T11" s="434"/>
      <c r="U11" s="340" t="s">
        <v>458</v>
      </c>
      <c r="V11" s="384">
        <f>V17</f>
        <v>1.2566285000000001</v>
      </c>
      <c r="W11" s="340" t="s">
        <v>460</v>
      </c>
      <c r="X11" s="341">
        <v>9.952</v>
      </c>
      <c r="Y11" s="386"/>
      <c r="Z11" s="388"/>
      <c r="AA11" s="340" t="s">
        <v>460</v>
      </c>
      <c r="AB11" s="341">
        <f>AB10+AB16/1000</f>
        <v>1.25</v>
      </c>
      <c r="AE11" s="343" t="s">
        <v>459</v>
      </c>
      <c r="AF11" s="340" t="s">
        <v>458</v>
      </c>
      <c r="AG11" s="384">
        <f>AG17</f>
        <v>1.2566285000000001</v>
      </c>
      <c r="AH11" s="340" t="s">
        <v>460</v>
      </c>
      <c r="AI11" s="369">
        <f>AI10-AI16/1000</f>
        <v>9.9456153657096724</v>
      </c>
      <c r="AJ11" s="386"/>
      <c r="AK11" s="388"/>
      <c r="AL11" s="340" t="s">
        <v>460</v>
      </c>
      <c r="AM11" s="341">
        <f>AM10+AM16/1000</f>
        <v>1.25</v>
      </c>
      <c r="AP11" s="343" t="s">
        <v>459</v>
      </c>
      <c r="AQ11" s="340" t="s">
        <v>458</v>
      </c>
      <c r="AR11" s="384">
        <f>AR17</f>
        <v>1.2566285000000001</v>
      </c>
      <c r="AS11" s="340" t="s">
        <v>460</v>
      </c>
      <c r="AT11" s="369">
        <f>AT10-AT16/1000</f>
        <v>14.54205</v>
      </c>
      <c r="AU11" s="386"/>
      <c r="AV11" s="388"/>
      <c r="AW11" s="340" t="s">
        <v>460</v>
      </c>
      <c r="AX11" s="368">
        <f>AX10+AX16/1000</f>
        <v>1.2617700000000001</v>
      </c>
    </row>
    <row r="12" spans="2:50" ht="13.5" thickBot="1">
      <c r="B12" s="232" t="s">
        <v>507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S12" s="365" t="s">
        <v>481</v>
      </c>
      <c r="T12" s="435"/>
      <c r="U12" s="340" t="s">
        <v>462</v>
      </c>
      <c r="V12" s="364">
        <v>297</v>
      </c>
      <c r="W12" s="340" t="s">
        <v>461</v>
      </c>
      <c r="X12" s="364">
        <v>300</v>
      </c>
      <c r="Y12" s="386"/>
      <c r="Z12" s="388"/>
      <c r="AA12" s="340" t="s">
        <v>461</v>
      </c>
      <c r="AB12" s="364">
        <v>79.19</v>
      </c>
      <c r="AE12" s="365" t="s">
        <v>481</v>
      </c>
      <c r="AF12" s="340" t="s">
        <v>462</v>
      </c>
      <c r="AG12" s="364">
        <v>297</v>
      </c>
      <c r="AH12" s="340" t="s">
        <v>461</v>
      </c>
      <c r="AI12" s="370">
        <f>X12</f>
        <v>300</v>
      </c>
      <c r="AJ12" s="386"/>
      <c r="AK12" s="388"/>
      <c r="AL12" s="340" t="s">
        <v>461</v>
      </c>
      <c r="AM12" s="364">
        <v>79.19</v>
      </c>
      <c r="AP12" s="343"/>
      <c r="AQ12" s="340" t="s">
        <v>462</v>
      </c>
      <c r="AR12" s="364">
        <v>297</v>
      </c>
      <c r="AS12" s="340" t="s">
        <v>461</v>
      </c>
      <c r="AT12" s="370">
        <v>300</v>
      </c>
      <c r="AU12" s="386"/>
      <c r="AV12" s="388"/>
      <c r="AW12" s="340" t="s">
        <v>461</v>
      </c>
      <c r="AX12" s="370">
        <v>79.19</v>
      </c>
    </row>
    <row r="13" spans="2:50">
      <c r="S13" s="365" t="s">
        <v>482</v>
      </c>
      <c r="T13" s="435"/>
      <c r="U13" s="340" t="s">
        <v>461</v>
      </c>
      <c r="V13" s="366">
        <f>V19</f>
        <v>80.34</v>
      </c>
      <c r="W13" s="340" t="s">
        <v>462</v>
      </c>
      <c r="X13" s="364">
        <v>81.19</v>
      </c>
      <c r="Y13" s="386"/>
      <c r="Z13" s="388"/>
      <c r="AA13" s="340" t="s">
        <v>462</v>
      </c>
      <c r="AB13" s="364">
        <v>292</v>
      </c>
      <c r="AE13" s="365" t="s">
        <v>482</v>
      </c>
      <c r="AF13" s="340" t="s">
        <v>461</v>
      </c>
      <c r="AG13" s="366">
        <f>AG19</f>
        <v>80.34</v>
      </c>
      <c r="AH13" s="340" t="s">
        <v>462</v>
      </c>
      <c r="AI13" s="370">
        <f>X13</f>
        <v>81.19</v>
      </c>
      <c r="AJ13" s="386"/>
      <c r="AK13" s="388"/>
      <c r="AL13" s="340" t="s">
        <v>462</v>
      </c>
      <c r="AM13" s="364">
        <v>292</v>
      </c>
      <c r="AP13" s="343"/>
      <c r="AQ13" s="340" t="s">
        <v>461</v>
      </c>
      <c r="AR13" s="366">
        <f>AR19</f>
        <v>80.34</v>
      </c>
      <c r="AS13" s="340" t="s">
        <v>462</v>
      </c>
      <c r="AT13" s="370">
        <v>79</v>
      </c>
      <c r="AU13" s="386"/>
      <c r="AV13" s="388"/>
      <c r="AW13" s="340" t="s">
        <v>462</v>
      </c>
      <c r="AX13" s="370">
        <v>297</v>
      </c>
    </row>
    <row r="14" spans="2:50">
      <c r="S14" s="343"/>
      <c r="T14" s="434"/>
      <c r="U14" s="340" t="s">
        <v>316</v>
      </c>
      <c r="V14" s="358">
        <f>V21</f>
        <v>50.46</v>
      </c>
      <c r="W14" s="340" t="s">
        <v>316</v>
      </c>
      <c r="X14" s="344">
        <v>50.46</v>
      </c>
      <c r="Y14" s="386"/>
      <c r="Z14" s="389"/>
      <c r="AA14" s="340" t="s">
        <v>316</v>
      </c>
      <c r="AB14" s="344">
        <v>14.02</v>
      </c>
      <c r="AE14" s="343"/>
      <c r="AF14" s="340" t="s">
        <v>316</v>
      </c>
      <c r="AG14" s="358">
        <f>AG21</f>
        <v>45.750100000000003</v>
      </c>
      <c r="AH14" s="340" t="s">
        <v>316</v>
      </c>
      <c r="AI14" s="371">
        <f>X14</f>
        <v>50.46</v>
      </c>
      <c r="AJ14" s="386"/>
      <c r="AK14" s="389"/>
      <c r="AL14" s="340" t="s">
        <v>316</v>
      </c>
      <c r="AM14" s="344">
        <v>14.02</v>
      </c>
      <c r="AP14" s="343"/>
      <c r="AQ14" s="340" t="s">
        <v>316</v>
      </c>
      <c r="AR14" s="344">
        <f>AR21</f>
        <v>-41.629000000000005</v>
      </c>
      <c r="AS14" s="340" t="s">
        <v>316</v>
      </c>
      <c r="AT14" s="371">
        <v>37.26</v>
      </c>
      <c r="AU14" s="386"/>
      <c r="AV14" s="389"/>
      <c r="AW14" s="340" t="s">
        <v>316</v>
      </c>
      <c r="AX14" s="371">
        <v>10.24</v>
      </c>
    </row>
    <row r="15" spans="2:50">
      <c r="B15" s="333" t="s">
        <v>517</v>
      </c>
      <c r="H15" s="91" t="s">
        <v>486</v>
      </c>
      <c r="S15" s="343"/>
      <c r="T15" s="434"/>
      <c r="U15" s="340" t="s">
        <v>483</v>
      </c>
      <c r="V15" s="367">
        <f>[9]!Rho_(11,V11,V13)</f>
        <v>0.75131412007069887</v>
      </c>
      <c r="W15" s="340" t="s">
        <v>483</v>
      </c>
      <c r="X15" s="367">
        <f>[9]!Rho_(11,X10,X12)</f>
        <v>1.6005851860513709</v>
      </c>
      <c r="Y15" s="386"/>
      <c r="Z15" s="390"/>
      <c r="AA15" s="340" t="s">
        <v>483</v>
      </c>
      <c r="AB15" s="367">
        <f>[9]!Rho_(21,AB10,AB12)</f>
        <v>800.05935919422848</v>
      </c>
      <c r="AE15" s="343"/>
      <c r="AF15" s="340" t="s">
        <v>483</v>
      </c>
      <c r="AG15" s="367">
        <f>[9]!Rho_(11,AG11,AG13)</f>
        <v>0.75131412007069887</v>
      </c>
      <c r="AH15" s="340"/>
      <c r="AI15" s="372">
        <f>[9]!Rho_(11,AI10,AI12)</f>
        <v>1.6005851860513709</v>
      </c>
      <c r="AJ15" s="386"/>
      <c r="AK15" s="390"/>
      <c r="AL15" s="340" t="s">
        <v>483</v>
      </c>
      <c r="AM15" s="367">
        <f>[9]!Rho_(21,AM10,AM12)</f>
        <v>800.05935919422848</v>
      </c>
      <c r="AP15" s="343"/>
      <c r="AQ15" s="340" t="s">
        <v>483</v>
      </c>
      <c r="AR15" s="367">
        <f>[9]!Rho_(11,AR11,AR13)</f>
        <v>0.75131412007069887</v>
      </c>
      <c r="AS15" s="340" t="s">
        <v>483</v>
      </c>
      <c r="AT15" s="372">
        <f>[9]!Rho_(11,AT10,AT12)</f>
        <v>2.3225839562419281</v>
      </c>
      <c r="AU15" s="386"/>
      <c r="AV15" s="390"/>
      <c r="AW15" s="340" t="s">
        <v>483</v>
      </c>
      <c r="AX15" s="372">
        <f>[9]!Rho_(21,AX10,AX12)</f>
        <v>800.05935919422848</v>
      </c>
    </row>
    <row r="16" spans="2:50" ht="13.5" thickBot="1">
      <c r="S16" s="346"/>
      <c r="T16" s="436"/>
      <c r="U16" s="347" t="s">
        <v>463</v>
      </c>
      <c r="V16" s="362">
        <v>135.19999999999999</v>
      </c>
      <c r="W16" s="347" t="s">
        <v>463</v>
      </c>
      <c r="X16" s="348">
        <v>70.5</v>
      </c>
      <c r="Y16" s="391"/>
      <c r="Z16" s="392"/>
      <c r="AA16" s="347" t="s">
        <v>463</v>
      </c>
      <c r="AB16" s="348">
        <v>0</v>
      </c>
      <c r="AE16" s="346"/>
      <c r="AF16" s="347" t="s">
        <v>463</v>
      </c>
      <c r="AG16" s="362">
        <v>135.19999999999999</v>
      </c>
      <c r="AH16" s="347" t="s">
        <v>463</v>
      </c>
      <c r="AI16" s="373">
        <f>AT16*(AT15/AI15)*(AI14/AT14)^2</f>
        <v>74.38463429032636</v>
      </c>
      <c r="AJ16" s="391"/>
      <c r="AK16" s="392"/>
      <c r="AL16" s="347" t="s">
        <v>463</v>
      </c>
      <c r="AM16" s="348">
        <v>0</v>
      </c>
      <c r="AP16" s="346"/>
      <c r="AQ16" s="347" t="s">
        <v>463</v>
      </c>
      <c r="AR16" s="362">
        <v>79.930000000000007</v>
      </c>
      <c r="AS16" s="347" t="s">
        <v>463</v>
      </c>
      <c r="AT16" s="501">
        <v>27.95</v>
      </c>
      <c r="AU16" s="391"/>
      <c r="AV16" s="392"/>
      <c r="AW16" s="347" t="s">
        <v>463</v>
      </c>
      <c r="AX16" s="501">
        <v>11.77</v>
      </c>
    </row>
    <row r="17" spans="2:51">
      <c r="H17" s="427" t="s">
        <v>466</v>
      </c>
      <c r="I17" s="428">
        <v>30</v>
      </c>
      <c r="J17" s="429">
        <v>15</v>
      </c>
      <c r="K17" s="428">
        <v>81</v>
      </c>
      <c r="L17" s="430"/>
      <c r="M17" s="428">
        <f>[9]!Rho_(11,J17,K17)</f>
        <v>8.6853335820461499</v>
      </c>
      <c r="N17" s="428">
        <v>30</v>
      </c>
      <c r="O17" s="96" t="s">
        <v>512</v>
      </c>
      <c r="S17" s="339"/>
      <c r="T17" s="434"/>
      <c r="U17" s="340" t="s">
        <v>460</v>
      </c>
      <c r="V17" s="384">
        <f>V18-V23/1000</f>
        <v>1.2566285000000001</v>
      </c>
      <c r="W17" s="340" t="s">
        <v>458</v>
      </c>
      <c r="X17" s="350">
        <f>X11</f>
        <v>9.952</v>
      </c>
      <c r="Y17" s="386"/>
      <c r="Z17" s="387"/>
      <c r="AE17" s="343"/>
      <c r="AF17" s="340" t="s">
        <v>460</v>
      </c>
      <c r="AG17" s="384">
        <f>AG18-AG23/1000</f>
        <v>1.2566285000000001</v>
      </c>
      <c r="AH17" s="340" t="s">
        <v>458</v>
      </c>
      <c r="AI17" s="413">
        <f>X17</f>
        <v>9.952</v>
      </c>
      <c r="AJ17" s="386"/>
      <c r="AK17" s="387"/>
      <c r="AP17" s="339"/>
      <c r="AQ17" s="340" t="s">
        <v>460</v>
      </c>
      <c r="AR17" s="384">
        <f>AR18-AR23/1000</f>
        <v>1.2566285000000001</v>
      </c>
      <c r="AS17" s="340" t="s">
        <v>458</v>
      </c>
      <c r="AT17" s="374">
        <f>AT11</f>
        <v>14.54205</v>
      </c>
      <c r="AU17" s="386"/>
      <c r="AV17" s="387"/>
    </row>
    <row r="18" spans="2:51">
      <c r="S18" s="343" t="s">
        <v>464</v>
      </c>
      <c r="T18" s="434"/>
      <c r="U18" s="340" t="s">
        <v>458</v>
      </c>
      <c r="V18" s="384">
        <f>V31</f>
        <v>1.2649285000000001</v>
      </c>
      <c r="W18" s="340" t="s">
        <v>460</v>
      </c>
      <c r="X18" s="355">
        <f>X17-X23/1000</f>
        <v>9.9374000000000002</v>
      </c>
      <c r="Y18" s="386"/>
      <c r="Z18" s="388"/>
      <c r="AE18" s="343" t="s">
        <v>464</v>
      </c>
      <c r="AF18" s="340" t="s">
        <v>458</v>
      </c>
      <c r="AG18" s="384">
        <f>AG31</f>
        <v>1.2649285000000001</v>
      </c>
      <c r="AH18" s="340" t="s">
        <v>460</v>
      </c>
      <c r="AI18" s="369">
        <f>AI17-AI23/1000</f>
        <v>9.9374000000000002</v>
      </c>
      <c r="AJ18" s="386"/>
      <c r="AK18" s="388"/>
      <c r="AP18" s="343" t="s">
        <v>464</v>
      </c>
      <c r="AQ18" s="340" t="s">
        <v>458</v>
      </c>
      <c r="AR18" s="384">
        <f>AR31</f>
        <v>1.2649285000000001</v>
      </c>
      <c r="AS18" s="340" t="s">
        <v>460</v>
      </c>
      <c r="AT18" s="369">
        <f>AT17-AT23/1000</f>
        <v>14.535679999999999</v>
      </c>
      <c r="AU18" s="386"/>
      <c r="AV18" s="388"/>
    </row>
    <row r="19" spans="2:51">
      <c r="C19" s="229" t="s">
        <v>499</v>
      </c>
      <c r="D19" s="229" t="s">
        <v>500</v>
      </c>
      <c r="E19" s="229" t="s">
        <v>501</v>
      </c>
      <c r="F19" s="229" t="s">
        <v>502</v>
      </c>
      <c r="H19" s="437" t="s">
        <v>479</v>
      </c>
      <c r="I19" s="55" t="s">
        <v>316</v>
      </c>
      <c r="J19" s="55" t="s">
        <v>458</v>
      </c>
      <c r="K19" s="55" t="s">
        <v>493</v>
      </c>
      <c r="L19" s="55" t="s">
        <v>492</v>
      </c>
      <c r="M19" s="55" t="s">
        <v>483</v>
      </c>
      <c r="N19" s="55" t="s">
        <v>480</v>
      </c>
      <c r="S19" s="343"/>
      <c r="T19" s="434"/>
      <c r="U19" s="340" t="s">
        <v>462</v>
      </c>
      <c r="V19" s="364">
        <v>80.34</v>
      </c>
      <c r="W19" s="340" t="s">
        <v>461</v>
      </c>
      <c r="X19" s="366">
        <f>X13</f>
        <v>81.19</v>
      </c>
      <c r="Y19" s="386"/>
      <c r="Z19" s="388"/>
      <c r="AE19" s="343"/>
      <c r="AF19" s="340" t="s">
        <v>462</v>
      </c>
      <c r="AG19" s="364">
        <v>80.34</v>
      </c>
      <c r="AH19" s="340" t="s">
        <v>461</v>
      </c>
      <c r="AI19" s="370">
        <f>X19</f>
        <v>81.19</v>
      </c>
      <c r="AJ19" s="386"/>
      <c r="AK19" s="388"/>
      <c r="AP19" s="343"/>
      <c r="AQ19" s="340" t="s">
        <v>462</v>
      </c>
      <c r="AR19" s="364">
        <v>80.34</v>
      </c>
      <c r="AS19" s="340" t="s">
        <v>461</v>
      </c>
      <c r="AT19" s="370">
        <f>79.29</f>
        <v>79.290000000000006</v>
      </c>
      <c r="AU19" s="386"/>
      <c r="AV19" s="388"/>
    </row>
    <row r="20" spans="2:51">
      <c r="B20" s="408" t="s">
        <v>459</v>
      </c>
      <c r="C20" s="403">
        <f>N25</f>
        <v>79.930000000000007</v>
      </c>
      <c r="D20" s="404" t="s">
        <v>503</v>
      </c>
      <c r="E20" s="403">
        <f>N20</f>
        <v>27.95</v>
      </c>
      <c r="F20" s="409">
        <v>78</v>
      </c>
      <c r="H20" s="438" t="s">
        <v>576</v>
      </c>
      <c r="I20" s="416">
        <v>37.26</v>
      </c>
      <c r="J20" s="416">
        <v>14.57</v>
      </c>
      <c r="K20" s="416">
        <v>300</v>
      </c>
      <c r="L20" s="416">
        <v>79</v>
      </c>
      <c r="M20" s="416">
        <f>[9]!Rho_(11,J20,K20)</f>
        <v>2.3225839562419281</v>
      </c>
      <c r="N20" s="502">
        <v>27.95</v>
      </c>
      <c r="S20" s="343"/>
      <c r="T20" s="434"/>
      <c r="U20" s="340" t="s">
        <v>461</v>
      </c>
      <c r="V20" s="366">
        <f>V33</f>
        <v>38.29</v>
      </c>
      <c r="W20" s="340" t="s">
        <v>462</v>
      </c>
      <c r="X20" s="364">
        <v>43.38</v>
      </c>
      <c r="Y20" s="386"/>
      <c r="Z20" s="388"/>
      <c r="AE20" s="343"/>
      <c r="AF20" s="340" t="s">
        <v>461</v>
      </c>
      <c r="AG20" s="366">
        <f>AG33</f>
        <v>38.29</v>
      </c>
      <c r="AH20" s="340" t="s">
        <v>462</v>
      </c>
      <c r="AI20" s="370">
        <f>X20</f>
        <v>43.38</v>
      </c>
      <c r="AJ20" s="386"/>
      <c r="AK20" s="388"/>
      <c r="AP20" s="343"/>
      <c r="AQ20" s="340" t="s">
        <v>461</v>
      </c>
      <c r="AR20" s="366">
        <f>AR33</f>
        <v>38.29</v>
      </c>
      <c r="AS20" s="340" t="s">
        <v>462</v>
      </c>
      <c r="AT20" s="370">
        <v>43.38</v>
      </c>
      <c r="AU20" s="386"/>
      <c r="AV20" s="388"/>
    </row>
    <row r="21" spans="2:51">
      <c r="B21" s="408" t="s">
        <v>464</v>
      </c>
      <c r="C21" s="403">
        <f>N26</f>
        <v>12.26</v>
      </c>
      <c r="D21" s="404" t="s">
        <v>503</v>
      </c>
      <c r="E21" s="403">
        <f>N21</f>
        <v>6.37</v>
      </c>
      <c r="F21" s="404" t="s">
        <v>503</v>
      </c>
      <c r="H21" s="438" t="s">
        <v>577</v>
      </c>
      <c r="I21" s="416">
        <v>37.26</v>
      </c>
      <c r="J21" s="416">
        <v>14.542</v>
      </c>
      <c r="K21" s="416">
        <v>79.290000000000006</v>
      </c>
      <c r="L21" s="416">
        <v>37.549999999999997</v>
      </c>
      <c r="M21" s="416">
        <f>[9]!Rho_(11,J21,K21)</f>
        <v>8.6045932440909265</v>
      </c>
      <c r="N21" s="502">
        <v>6.37</v>
      </c>
      <c r="P21" s="432"/>
      <c r="S21" s="343"/>
      <c r="T21" s="434"/>
      <c r="U21" s="340" t="s">
        <v>316</v>
      </c>
      <c r="V21" s="358">
        <f>V35</f>
        <v>50.46</v>
      </c>
      <c r="W21" s="340" t="s">
        <v>316</v>
      </c>
      <c r="X21" s="352">
        <f>X14</f>
        <v>50.46</v>
      </c>
      <c r="Y21" s="386"/>
      <c r="Z21" s="389"/>
      <c r="AE21" s="343"/>
      <c r="AF21" s="340" t="s">
        <v>316</v>
      </c>
      <c r="AG21" s="358">
        <f>AG35</f>
        <v>45.750100000000003</v>
      </c>
      <c r="AH21" s="340" t="s">
        <v>316</v>
      </c>
      <c r="AI21" s="371">
        <f>X21</f>
        <v>50.46</v>
      </c>
      <c r="AJ21" s="386"/>
      <c r="AK21" s="389"/>
      <c r="AP21" s="343"/>
      <c r="AQ21" s="340" t="s">
        <v>316</v>
      </c>
      <c r="AR21" s="358">
        <f>AR35</f>
        <v>-41.629000000000005</v>
      </c>
      <c r="AS21" s="340" t="s">
        <v>316</v>
      </c>
      <c r="AT21" s="375">
        <f>AT14</f>
        <v>37.26</v>
      </c>
      <c r="AU21" s="386"/>
      <c r="AV21" s="389"/>
    </row>
    <row r="22" spans="2:51">
      <c r="B22" s="408" t="s">
        <v>466</v>
      </c>
      <c r="C22" s="404"/>
      <c r="D22" s="404"/>
      <c r="E22" s="411">
        <f>N22</f>
        <v>22.413357555844073</v>
      </c>
      <c r="F22" s="404"/>
      <c r="H22" s="439" t="s">
        <v>466</v>
      </c>
      <c r="I22" s="428">
        <f>I21</f>
        <v>37.26</v>
      </c>
      <c r="J22" s="429">
        <f>J21-N21/1000</f>
        <v>14.535629999999999</v>
      </c>
      <c r="K22" s="428">
        <f>L21</f>
        <v>37.549999999999997</v>
      </c>
      <c r="L22" s="428">
        <f>K22</f>
        <v>37.549999999999997</v>
      </c>
      <c r="M22" s="428">
        <f>[9]!Rho_(11,J22,K22)</f>
        <v>17.932631750875878</v>
      </c>
      <c r="N22" s="502">
        <f>N17*(M17/M22)*(I22/I17)^2</f>
        <v>22.413357555844073</v>
      </c>
      <c r="O22" s="431" t="s">
        <v>488</v>
      </c>
      <c r="P22" s="440">
        <f>SUM(N20:N24)</f>
        <v>64.573357555844069</v>
      </c>
      <c r="S22" s="343"/>
      <c r="T22" s="434"/>
      <c r="U22" s="340" t="s">
        <v>483</v>
      </c>
      <c r="V22" s="367">
        <f>[9]!Rho_(11,V18,V20)</f>
        <v>1.5851122833077518</v>
      </c>
      <c r="W22" s="340" t="s">
        <v>483</v>
      </c>
      <c r="X22" s="367">
        <f>[9]!Rho_(11,X17,X19)</f>
        <v>5.7993518420040555</v>
      </c>
      <c r="Y22" s="386"/>
      <c r="Z22" s="390"/>
      <c r="AE22" s="343"/>
      <c r="AF22" s="340" t="s">
        <v>483</v>
      </c>
      <c r="AG22" s="367">
        <f>[9]!Rho_(11,AG18,AG20)</f>
        <v>1.5851122833077518</v>
      </c>
      <c r="AH22" s="340"/>
      <c r="AI22" s="372">
        <f>[9]!Rho_(11,AI17,AI19)</f>
        <v>5.7993518420040555</v>
      </c>
      <c r="AJ22" s="386"/>
      <c r="AK22" s="390"/>
      <c r="AP22" s="343"/>
      <c r="AQ22" s="340" t="s">
        <v>483</v>
      </c>
      <c r="AR22" s="367">
        <f>[9]!Rho_(11,AR18,AR20)</f>
        <v>1.5851122833077518</v>
      </c>
      <c r="AS22" s="340" t="s">
        <v>483</v>
      </c>
      <c r="AT22" s="372">
        <f>[9]!Rho_(11,AT17,AT19)</f>
        <v>8.6046220781835316</v>
      </c>
      <c r="AU22" s="386"/>
      <c r="AV22" s="390"/>
    </row>
    <row r="23" spans="2:51" ht="13.5" thickBot="1">
      <c r="B23" s="408" t="s">
        <v>473</v>
      </c>
      <c r="C23" s="404" t="s">
        <v>504</v>
      </c>
      <c r="D23" s="404" t="s">
        <v>503</v>
      </c>
      <c r="E23" s="411">
        <f>N23</f>
        <v>1.47</v>
      </c>
      <c r="F23" s="404" t="s">
        <v>503</v>
      </c>
      <c r="H23" s="438" t="s">
        <v>578</v>
      </c>
      <c r="I23" s="416">
        <v>9.6</v>
      </c>
      <c r="J23" s="416">
        <v>14.536</v>
      </c>
      <c r="K23" s="416">
        <v>37.549999999999997</v>
      </c>
      <c r="L23" s="416">
        <v>13.97</v>
      </c>
      <c r="M23" s="416">
        <f>[9]!Rho_(11,J23,K23)</f>
        <v>17.933070361089158</v>
      </c>
      <c r="N23" s="502">
        <v>1.47</v>
      </c>
      <c r="P23" s="432"/>
      <c r="S23" s="346"/>
      <c r="T23" s="436"/>
      <c r="U23" s="347" t="s">
        <v>463</v>
      </c>
      <c r="V23" s="362">
        <v>8.3000000000000007</v>
      </c>
      <c r="W23" s="347" t="s">
        <v>463</v>
      </c>
      <c r="X23" s="359">
        <v>14.6</v>
      </c>
      <c r="Y23" s="391"/>
      <c r="Z23" s="392"/>
      <c r="AE23" s="346"/>
      <c r="AF23" s="347" t="s">
        <v>463</v>
      </c>
      <c r="AG23" s="362">
        <v>8.3000000000000007</v>
      </c>
      <c r="AH23" s="376" t="s">
        <v>463</v>
      </c>
      <c r="AI23" s="381">
        <v>14.6</v>
      </c>
      <c r="AJ23" s="391"/>
      <c r="AK23" s="392"/>
      <c r="AP23" s="346"/>
      <c r="AQ23" s="347" t="s">
        <v>463</v>
      </c>
      <c r="AR23" s="362">
        <v>8.3000000000000007</v>
      </c>
      <c r="AS23" s="347" t="s">
        <v>463</v>
      </c>
      <c r="AT23" s="501">
        <v>6.37</v>
      </c>
      <c r="AU23" s="391"/>
      <c r="AV23" s="392"/>
    </row>
    <row r="24" spans="2:51">
      <c r="B24" s="408" t="s">
        <v>474</v>
      </c>
      <c r="C24" s="404" t="s">
        <v>504</v>
      </c>
      <c r="D24" s="409">
        <v>8.14</v>
      </c>
      <c r="E24" s="412" t="s">
        <v>505</v>
      </c>
      <c r="F24" s="404" t="s">
        <v>503</v>
      </c>
      <c r="H24" s="438" t="s">
        <v>579</v>
      </c>
      <c r="I24" s="416">
        <f>I23</f>
        <v>9.6</v>
      </c>
      <c r="J24" s="416">
        <v>14.534000000000001</v>
      </c>
      <c r="K24" s="416">
        <v>13.97</v>
      </c>
      <c r="L24" s="416">
        <v>5.9</v>
      </c>
      <c r="M24" s="416">
        <v>0.59</v>
      </c>
      <c r="N24" s="502">
        <v>6.37</v>
      </c>
      <c r="S24" s="339"/>
      <c r="T24" s="434"/>
      <c r="U24" s="386"/>
      <c r="V24" s="387"/>
      <c r="W24" s="340" t="s">
        <v>458</v>
      </c>
      <c r="X24" s="353">
        <f>+X18</f>
        <v>9.9374000000000002</v>
      </c>
      <c r="Y24" s="386"/>
      <c r="Z24" s="387"/>
      <c r="AE24" s="339"/>
      <c r="AF24" s="386"/>
      <c r="AG24" s="387"/>
      <c r="AH24" s="340" t="s">
        <v>458</v>
      </c>
      <c r="AI24" s="353">
        <f>+AI18</f>
        <v>9.9374000000000002</v>
      </c>
      <c r="AJ24" s="386"/>
      <c r="AK24" s="387"/>
      <c r="AP24" s="339"/>
      <c r="AQ24" s="386"/>
      <c r="AR24" s="387"/>
      <c r="AS24" s="340" t="s">
        <v>458</v>
      </c>
      <c r="AT24" s="353">
        <f>AT18</f>
        <v>14.535679999999999</v>
      </c>
      <c r="AU24" s="386"/>
      <c r="AV24" s="387"/>
      <c r="AX24" s="354" t="s">
        <v>465</v>
      </c>
      <c r="AY24" s="354"/>
    </row>
    <row r="25" spans="2:51">
      <c r="B25" s="408" t="s">
        <v>477</v>
      </c>
      <c r="C25" s="403">
        <f>N27</f>
        <v>11.28</v>
      </c>
      <c r="D25" s="404" t="s">
        <v>503</v>
      </c>
      <c r="E25" s="411">
        <f>N24</f>
        <v>6.37</v>
      </c>
      <c r="F25" s="404" t="s">
        <v>503</v>
      </c>
      <c r="H25" s="438" t="s">
        <v>572</v>
      </c>
      <c r="I25" s="416">
        <v>33.86</v>
      </c>
      <c r="J25" s="416">
        <v>1.276</v>
      </c>
      <c r="K25" s="416">
        <v>78.5</v>
      </c>
      <c r="L25" s="416">
        <v>297</v>
      </c>
      <c r="M25" s="416">
        <f>[9]!Rho_(11,J25,K25)</f>
        <v>0.78071642776127803</v>
      </c>
      <c r="N25" s="502">
        <v>79.930000000000007</v>
      </c>
      <c r="P25" s="432"/>
      <c r="S25" s="343" t="s">
        <v>466</v>
      </c>
      <c r="T25" s="434"/>
      <c r="U25" s="386"/>
      <c r="V25" s="388"/>
      <c r="W25" s="340" t="s">
        <v>460</v>
      </c>
      <c r="X25" s="355">
        <f>X24-X30/1000</f>
        <v>9.8873999999999995</v>
      </c>
      <c r="Y25" s="386"/>
      <c r="Z25" s="388"/>
      <c r="AE25" s="343" t="s">
        <v>466</v>
      </c>
      <c r="AF25" s="386"/>
      <c r="AG25" s="388"/>
      <c r="AH25" s="340" t="s">
        <v>460</v>
      </c>
      <c r="AI25" s="355">
        <f>AI24-AI30/1000</f>
        <v>9.8873999999999995</v>
      </c>
      <c r="AJ25" s="386"/>
      <c r="AK25" s="388"/>
      <c r="AP25" s="343" t="s">
        <v>466</v>
      </c>
      <c r="AQ25" s="386"/>
      <c r="AR25" s="388"/>
      <c r="AS25" s="340" t="s">
        <v>460</v>
      </c>
      <c r="AT25" s="355">
        <f>AT24-AT30/1000</f>
        <v>14.485679999999999</v>
      </c>
      <c r="AU25" s="386"/>
      <c r="AV25" s="388"/>
      <c r="AX25" s="94" t="s">
        <v>467</v>
      </c>
      <c r="AY25" s="356">
        <f>AT25</f>
        <v>14.485679999999999</v>
      </c>
    </row>
    <row r="26" spans="2:51">
      <c r="B26" s="408" t="s">
        <v>478</v>
      </c>
      <c r="C26" s="403">
        <f>N28</f>
        <v>1.18</v>
      </c>
      <c r="D26" s="404" t="s">
        <v>503</v>
      </c>
      <c r="E26" s="405" t="s">
        <v>506</v>
      </c>
      <c r="F26" s="404" t="s">
        <v>503</v>
      </c>
      <c r="H26" s="438" t="s">
        <v>573</v>
      </c>
      <c r="I26" s="416">
        <v>33.86</v>
      </c>
      <c r="J26" s="416">
        <v>1.288</v>
      </c>
      <c r="K26" s="416">
        <v>10.97</v>
      </c>
      <c r="L26" s="416">
        <v>78.5</v>
      </c>
      <c r="M26" s="416">
        <f>[9]!Rho_(11,J26,K26)</f>
        <v>5.8046013486558792</v>
      </c>
      <c r="N26" s="502">
        <v>12.26</v>
      </c>
      <c r="O26" s="431" t="s">
        <v>487</v>
      </c>
      <c r="P26" s="440">
        <f>SUM(N25:N28)</f>
        <v>104.65000000000002</v>
      </c>
      <c r="S26" s="343"/>
      <c r="T26" s="434"/>
      <c r="U26" s="386"/>
      <c r="V26" s="388"/>
      <c r="W26" s="340" t="s">
        <v>461</v>
      </c>
      <c r="X26" s="364">
        <v>43.38</v>
      </c>
      <c r="Y26" s="386"/>
      <c r="Z26" s="388"/>
      <c r="AE26" s="343"/>
      <c r="AF26" s="386"/>
      <c r="AG26" s="388"/>
      <c r="AH26" s="340" t="s">
        <v>461</v>
      </c>
      <c r="AI26" s="364">
        <v>43.38</v>
      </c>
      <c r="AJ26" s="386"/>
      <c r="AK26" s="388"/>
      <c r="AP26" s="343"/>
      <c r="AQ26" s="386"/>
      <c r="AR26" s="388"/>
      <c r="AS26" s="340" t="s">
        <v>461</v>
      </c>
      <c r="AT26" s="364"/>
      <c r="AU26" s="386"/>
      <c r="AV26" s="388"/>
      <c r="AX26" s="94" t="s">
        <v>468</v>
      </c>
      <c r="AY26" s="357">
        <v>50</v>
      </c>
    </row>
    <row r="27" spans="2:51">
      <c r="C27" s="406">
        <f>SUM(C20:C26)</f>
        <v>104.65000000000002</v>
      </c>
      <c r="D27" s="407">
        <f>SUM(D20:D26)</f>
        <v>8.14</v>
      </c>
      <c r="E27" s="406">
        <f>SUM(E20:E26)</f>
        <v>64.573357555844069</v>
      </c>
      <c r="F27" s="407">
        <f>SUM(F20:F26)</f>
        <v>78</v>
      </c>
      <c r="H27" s="438" t="s">
        <v>574</v>
      </c>
      <c r="I27" s="416">
        <v>33.86</v>
      </c>
      <c r="J27" s="416">
        <v>1.3</v>
      </c>
      <c r="K27" s="416">
        <v>9.23</v>
      </c>
      <c r="L27" s="416">
        <v>10.97</v>
      </c>
      <c r="M27" s="416">
        <f>[9]!Rho_(11,J27,K27)</f>
        <v>7.0987211886720205</v>
      </c>
      <c r="N27" s="502">
        <v>11.28</v>
      </c>
      <c r="P27" s="432"/>
      <c r="S27" s="343"/>
      <c r="T27" s="434"/>
      <c r="U27" s="386"/>
      <c r="V27" s="388"/>
      <c r="W27" s="340" t="s">
        <v>462</v>
      </c>
      <c r="X27" s="364">
        <v>43.37</v>
      </c>
      <c r="Y27" s="386"/>
      <c r="Z27" s="388"/>
      <c r="AB27" s="354" t="s">
        <v>465</v>
      </c>
      <c r="AC27" s="354"/>
      <c r="AE27" s="343"/>
      <c r="AF27" s="386"/>
      <c r="AG27" s="388"/>
      <c r="AH27" s="340" t="s">
        <v>462</v>
      </c>
      <c r="AI27" s="364">
        <v>43.37</v>
      </c>
      <c r="AJ27" s="386"/>
      <c r="AK27" s="388"/>
      <c r="AP27" s="343"/>
      <c r="AQ27" s="386"/>
      <c r="AR27" s="388"/>
      <c r="AS27" s="340" t="s">
        <v>462</v>
      </c>
      <c r="AT27" s="364">
        <v>43.38</v>
      </c>
      <c r="AU27" s="386"/>
      <c r="AV27" s="388"/>
      <c r="AX27" s="94" t="s">
        <v>470</v>
      </c>
      <c r="AY27" s="357">
        <v>50</v>
      </c>
    </row>
    <row r="28" spans="2:51">
      <c r="H28" s="438" t="s">
        <v>575</v>
      </c>
      <c r="I28" s="416">
        <v>6.42</v>
      </c>
      <c r="J28" s="416">
        <v>1.3</v>
      </c>
      <c r="K28" s="416">
        <v>4.5</v>
      </c>
      <c r="L28" s="416">
        <v>9.23</v>
      </c>
      <c r="M28" s="416">
        <f>[9]!Rho_(11,J28,K28)</f>
        <v>22.032640426004637</v>
      </c>
      <c r="N28" s="502">
        <v>1.18</v>
      </c>
      <c r="P28" s="432"/>
      <c r="S28" s="343" t="s">
        <v>469</v>
      </c>
      <c r="T28" s="434"/>
      <c r="U28" s="386"/>
      <c r="V28" s="389"/>
      <c r="W28" s="340" t="s">
        <v>316</v>
      </c>
      <c r="X28" s="358">
        <f>+X21</f>
        <v>50.46</v>
      </c>
      <c r="Y28" s="386"/>
      <c r="Z28" s="389"/>
      <c r="AB28" s="94" t="s">
        <v>467</v>
      </c>
      <c r="AC28" s="356">
        <f>X25</f>
        <v>9.8873999999999995</v>
      </c>
      <c r="AE28" s="343" t="s">
        <v>469</v>
      </c>
      <c r="AF28" s="386"/>
      <c r="AG28" s="389"/>
      <c r="AH28" s="340" t="s">
        <v>316</v>
      </c>
      <c r="AI28" s="358">
        <f>+AI21</f>
        <v>50.46</v>
      </c>
      <c r="AJ28" s="386"/>
      <c r="AK28" s="389"/>
      <c r="AM28" s="354" t="s">
        <v>465</v>
      </c>
      <c r="AN28" s="354"/>
      <c r="AP28" s="343" t="s">
        <v>469</v>
      </c>
      <c r="AQ28" s="386"/>
      <c r="AR28" s="389"/>
      <c r="AS28" s="340" t="s">
        <v>316</v>
      </c>
      <c r="AT28" s="358">
        <f>AT21</f>
        <v>37.26</v>
      </c>
      <c r="AU28" s="386"/>
      <c r="AV28" s="389"/>
      <c r="AX28" s="94" t="s">
        <v>471</v>
      </c>
      <c r="AY28" s="360">
        <f>AY25-(AY26+AY27)/1000</f>
        <v>14.385679999999999</v>
      </c>
    </row>
    <row r="29" spans="2:51">
      <c r="S29" s="343"/>
      <c r="T29" s="434"/>
      <c r="U29" s="386"/>
      <c r="V29" s="390"/>
      <c r="W29" s="340" t="s">
        <v>483</v>
      </c>
      <c r="X29" s="367">
        <f>[9]!Rho_(11,X24,X26)</f>
        <v>10.749850636419728</v>
      </c>
      <c r="Y29" s="386"/>
      <c r="Z29" s="390"/>
      <c r="AB29" s="94" t="s">
        <v>468</v>
      </c>
      <c r="AC29" s="357">
        <v>50</v>
      </c>
      <c r="AE29" s="343"/>
      <c r="AF29" s="386"/>
      <c r="AG29" s="390"/>
      <c r="AH29" s="340" t="s">
        <v>483</v>
      </c>
      <c r="AI29" s="367">
        <f>[9]!Rho_(11,AI24,AI26)</f>
        <v>10.749850636419728</v>
      </c>
      <c r="AJ29" s="386"/>
      <c r="AK29" s="390"/>
      <c r="AM29" s="94" t="s">
        <v>467</v>
      </c>
      <c r="AN29" s="356">
        <f>AI26</f>
        <v>43.38</v>
      </c>
      <c r="AP29" s="343"/>
      <c r="AQ29" s="386"/>
      <c r="AR29" s="390"/>
      <c r="AS29" s="340" t="s">
        <v>483</v>
      </c>
      <c r="AT29" s="372" t="str">
        <f>[9]!Rho_(11,AT24,AT26)</f>
        <v>NUM</v>
      </c>
      <c r="AU29" s="386"/>
      <c r="AV29" s="390"/>
      <c r="AX29" s="94" t="s">
        <v>472</v>
      </c>
      <c r="AY29" s="361">
        <f>36.7*37/50</f>
        <v>27.158000000000001</v>
      </c>
    </row>
    <row r="30" spans="2:51" ht="13.5" thickBot="1">
      <c r="H30" s="438" t="s">
        <v>580</v>
      </c>
      <c r="I30" s="416">
        <v>27.55</v>
      </c>
      <c r="J30" s="416">
        <v>6</v>
      </c>
      <c r="K30" s="416">
        <v>29.56</v>
      </c>
      <c r="L30" s="416">
        <v>13.97</v>
      </c>
      <c r="M30" s="416">
        <f>[9]!Rho_(11,J30,K30)</f>
        <v>9.6345912404602121</v>
      </c>
      <c r="N30" s="502">
        <v>7.85</v>
      </c>
      <c r="S30" s="346"/>
      <c r="T30" s="436"/>
      <c r="U30" s="391"/>
      <c r="V30" s="392"/>
      <c r="W30" s="347" t="s">
        <v>463</v>
      </c>
      <c r="X30" s="359">
        <v>50</v>
      </c>
      <c r="Y30" s="391"/>
      <c r="Z30" s="392"/>
      <c r="AB30" s="94" t="s">
        <v>470</v>
      </c>
      <c r="AC30" s="357">
        <v>50</v>
      </c>
      <c r="AE30" s="346"/>
      <c r="AF30" s="391"/>
      <c r="AG30" s="392"/>
      <c r="AH30" s="347" t="s">
        <v>463</v>
      </c>
      <c r="AI30" s="359">
        <v>50</v>
      </c>
      <c r="AJ30" s="391"/>
      <c r="AK30" s="392"/>
      <c r="AM30" s="94" t="s">
        <v>468</v>
      </c>
      <c r="AN30" s="357">
        <v>50</v>
      </c>
      <c r="AP30" s="346"/>
      <c r="AQ30" s="391"/>
      <c r="AR30" s="392"/>
      <c r="AS30" s="347" t="s">
        <v>463</v>
      </c>
      <c r="AT30" s="501">
        <v>50</v>
      </c>
      <c r="AU30" s="391"/>
      <c r="AV30" s="392"/>
    </row>
    <row r="31" spans="2:51">
      <c r="H31" s="438" t="s">
        <v>581</v>
      </c>
      <c r="I31" s="416">
        <v>10.24</v>
      </c>
      <c r="J31" s="416">
        <v>1.25</v>
      </c>
      <c r="K31" s="416">
        <v>79.19</v>
      </c>
      <c r="L31" s="416">
        <v>297</v>
      </c>
      <c r="M31" s="416">
        <f>[9]!Rho_(21,J31,K31)</f>
        <v>800.05935919422848</v>
      </c>
      <c r="N31" s="502">
        <v>11.77</v>
      </c>
      <c r="S31" s="339"/>
      <c r="T31" s="434"/>
      <c r="U31" s="340" t="s">
        <v>460</v>
      </c>
      <c r="V31" s="385">
        <f>V32-V37/1000</f>
        <v>1.2649285000000001</v>
      </c>
      <c r="W31" s="340" t="s">
        <v>458</v>
      </c>
      <c r="X31" s="353">
        <f>X25</f>
        <v>9.8873999999999995</v>
      </c>
      <c r="Y31" s="386"/>
      <c r="Z31" s="387"/>
      <c r="AB31" s="94" t="s">
        <v>471</v>
      </c>
      <c r="AC31" s="360">
        <f>AC28-(AC29+AC30)/1000</f>
        <v>9.7873999999999999</v>
      </c>
      <c r="AE31" s="339"/>
      <c r="AF31" s="340" t="s">
        <v>460</v>
      </c>
      <c r="AG31" s="385">
        <f>AG32-AG37/1000</f>
        <v>1.2649285000000001</v>
      </c>
      <c r="AH31" s="340" t="s">
        <v>458</v>
      </c>
      <c r="AI31" s="353">
        <f>AI25</f>
        <v>9.8873999999999995</v>
      </c>
      <c r="AJ31" s="386"/>
      <c r="AK31" s="387"/>
      <c r="AM31" s="94" t="s">
        <v>470</v>
      </c>
      <c r="AN31" s="357">
        <v>50</v>
      </c>
      <c r="AP31" s="339"/>
      <c r="AQ31" s="340" t="s">
        <v>460</v>
      </c>
      <c r="AR31" s="385">
        <f>AR32-AR37/1000</f>
        <v>1.2649285000000001</v>
      </c>
      <c r="AS31" s="340" t="s">
        <v>458</v>
      </c>
      <c r="AT31" s="353">
        <f>AT25</f>
        <v>14.485679999999999</v>
      </c>
      <c r="AU31" s="386"/>
      <c r="AV31" s="387"/>
    </row>
    <row r="32" spans="2:51" ht="13.5" thickBot="1">
      <c r="B32" s="232" t="s">
        <v>515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S32" s="343" t="s">
        <v>473</v>
      </c>
      <c r="T32" s="434"/>
      <c r="U32" s="340" t="s">
        <v>458</v>
      </c>
      <c r="V32" s="384">
        <f>V38</f>
        <v>1.2735285000000001</v>
      </c>
      <c r="W32" s="340" t="s">
        <v>460</v>
      </c>
      <c r="X32" s="355">
        <f>X31-X37/1000</f>
        <v>9.8849029999999996</v>
      </c>
      <c r="Y32" s="386"/>
      <c r="Z32" s="388"/>
      <c r="AB32" s="94" t="s">
        <v>472</v>
      </c>
      <c r="AC32" s="361">
        <v>36.700000000000003</v>
      </c>
      <c r="AE32" s="343" t="s">
        <v>473</v>
      </c>
      <c r="AF32" s="340" t="s">
        <v>458</v>
      </c>
      <c r="AG32" s="384">
        <f>AG38</f>
        <v>1.2735285000000001</v>
      </c>
      <c r="AH32" s="340" t="s">
        <v>460</v>
      </c>
      <c r="AI32" s="355">
        <f>AI31-AI37/1000</f>
        <v>9.8849029999999996</v>
      </c>
      <c r="AJ32" s="386"/>
      <c r="AK32" s="388"/>
      <c r="AM32" s="94" t="s">
        <v>471</v>
      </c>
      <c r="AN32" s="360">
        <f>AN29-(AN30+AN31)/1000</f>
        <v>43.28</v>
      </c>
      <c r="AP32" s="343" t="s">
        <v>473</v>
      </c>
      <c r="AQ32" s="340" t="s">
        <v>458</v>
      </c>
      <c r="AR32" s="384">
        <f>AR38</f>
        <v>1.2735285000000001</v>
      </c>
      <c r="AS32" s="340" t="s">
        <v>460</v>
      </c>
      <c r="AT32" s="355">
        <f>AT31-AT37/1000</f>
        <v>14.483182999999999</v>
      </c>
      <c r="AU32" s="386"/>
      <c r="AV32" s="388"/>
    </row>
    <row r="33" spans="2:51">
      <c r="C33" s="406"/>
      <c r="D33" s="407"/>
      <c r="E33" s="406"/>
      <c r="F33" s="407"/>
      <c r="P33" s="432"/>
      <c r="S33" s="343"/>
      <c r="T33" s="434"/>
      <c r="U33" s="340" t="s">
        <v>462</v>
      </c>
      <c r="V33" s="364">
        <v>38.29</v>
      </c>
      <c r="W33" s="340" t="s">
        <v>461</v>
      </c>
      <c r="X33" s="366">
        <f>X27</f>
        <v>43.37</v>
      </c>
      <c r="Y33" s="386"/>
      <c r="Z33" s="388"/>
      <c r="AB33" s="91" t="s">
        <v>498</v>
      </c>
      <c r="AC33" s="331">
        <v>0.12</v>
      </c>
      <c r="AE33" s="343"/>
      <c r="AF33" s="340" t="s">
        <v>462</v>
      </c>
      <c r="AG33" s="364">
        <v>38.29</v>
      </c>
      <c r="AH33" s="340" t="s">
        <v>461</v>
      </c>
      <c r="AI33" s="366">
        <f>AI27</f>
        <v>43.37</v>
      </c>
      <c r="AJ33" s="386"/>
      <c r="AK33" s="388"/>
      <c r="AL33" s="94"/>
      <c r="AM33" s="94" t="s">
        <v>472</v>
      </c>
      <c r="AN33" s="331">
        <v>36.700000000000003</v>
      </c>
      <c r="AP33" s="343"/>
      <c r="AQ33" s="340" t="s">
        <v>462</v>
      </c>
      <c r="AR33" s="364">
        <v>38.29</v>
      </c>
      <c r="AS33" s="340" t="s">
        <v>461</v>
      </c>
      <c r="AT33" s="364"/>
      <c r="AU33" s="386"/>
      <c r="AV33" s="388"/>
    </row>
    <row r="34" spans="2:51">
      <c r="P34" s="432"/>
      <c r="S34" s="343"/>
      <c r="T34" s="434"/>
      <c r="U34" s="340" t="s">
        <v>461</v>
      </c>
      <c r="V34" s="366">
        <f>V40</f>
        <v>36.17</v>
      </c>
      <c r="W34" s="340" t="s">
        <v>462</v>
      </c>
      <c r="X34" s="364">
        <v>36.54</v>
      </c>
      <c r="Y34" s="386"/>
      <c r="Z34" s="388"/>
      <c r="AE34" s="343"/>
      <c r="AF34" s="340" t="s">
        <v>461</v>
      </c>
      <c r="AG34" s="366">
        <f>AG40</f>
        <v>36.17</v>
      </c>
      <c r="AH34" s="340" t="s">
        <v>462</v>
      </c>
      <c r="AI34" s="364">
        <v>36.54</v>
      </c>
      <c r="AJ34" s="386"/>
      <c r="AK34" s="388"/>
      <c r="AL34" s="94"/>
      <c r="AM34" s="91" t="s">
        <v>498</v>
      </c>
      <c r="AN34" s="331">
        <v>0.12</v>
      </c>
      <c r="AP34" s="343"/>
      <c r="AQ34" s="340" t="s">
        <v>461</v>
      </c>
      <c r="AR34" s="366">
        <f>AR40</f>
        <v>36.17</v>
      </c>
      <c r="AS34" s="340" t="s">
        <v>462</v>
      </c>
      <c r="AT34" s="364"/>
      <c r="AU34" s="386"/>
      <c r="AV34" s="388"/>
    </row>
    <row r="35" spans="2:51">
      <c r="C35" s="229" t="s">
        <v>499</v>
      </c>
      <c r="D35" s="229" t="s">
        <v>500</v>
      </c>
      <c r="E35" s="229" t="s">
        <v>501</v>
      </c>
      <c r="F35" s="229" t="s">
        <v>502</v>
      </c>
      <c r="H35" s="437" t="s">
        <v>479</v>
      </c>
      <c r="I35" s="55" t="s">
        <v>316</v>
      </c>
      <c r="J35" s="55" t="s">
        <v>458</v>
      </c>
      <c r="K35" s="55" t="s">
        <v>493</v>
      </c>
      <c r="L35" s="55" t="s">
        <v>492</v>
      </c>
      <c r="M35" s="55" t="s">
        <v>483</v>
      </c>
      <c r="N35" s="55" t="s">
        <v>480</v>
      </c>
      <c r="P35" s="432"/>
      <c r="S35" s="343"/>
      <c r="T35" s="434"/>
      <c r="U35" s="340" t="s">
        <v>316</v>
      </c>
      <c r="V35" s="358">
        <f>V42</f>
        <v>50.46</v>
      </c>
      <c r="W35" s="340" t="s">
        <v>316</v>
      </c>
      <c r="X35" s="358">
        <f>X28-AC33</f>
        <v>50.34</v>
      </c>
      <c r="Y35" s="386"/>
      <c r="Z35" s="389"/>
      <c r="AE35" s="343"/>
      <c r="AF35" s="340" t="s">
        <v>316</v>
      </c>
      <c r="AG35" s="358">
        <f>AG42</f>
        <v>45.750100000000003</v>
      </c>
      <c r="AH35" s="340" t="s">
        <v>316</v>
      </c>
      <c r="AI35" s="358">
        <f>AI28-AN33</f>
        <v>13.759999999999998</v>
      </c>
      <c r="AJ35" s="386"/>
      <c r="AK35" s="389"/>
      <c r="AP35" s="343"/>
      <c r="AQ35" s="340" t="s">
        <v>316</v>
      </c>
      <c r="AR35" s="358">
        <f>AR42</f>
        <v>-41.629000000000005</v>
      </c>
      <c r="AS35" s="340" t="s">
        <v>316</v>
      </c>
      <c r="AT35" s="358">
        <f>AT28-AY29</f>
        <v>10.101999999999997</v>
      </c>
      <c r="AU35" s="386"/>
      <c r="AV35" s="389"/>
    </row>
    <row r="36" spans="2:51">
      <c r="B36" s="408" t="s">
        <v>459</v>
      </c>
      <c r="C36" s="403">
        <f>N41</f>
        <v>145.92110248010553</v>
      </c>
      <c r="D36" s="404" t="s">
        <v>503</v>
      </c>
      <c r="E36" s="403">
        <f>N36</f>
        <v>74.38463429032636</v>
      </c>
      <c r="F36" s="409">
        <v>78</v>
      </c>
      <c r="H36" s="438" t="s">
        <v>576</v>
      </c>
      <c r="I36" s="414">
        <v>50.46</v>
      </c>
      <c r="J36" s="414">
        <v>10.02</v>
      </c>
      <c r="K36" s="414">
        <v>300</v>
      </c>
      <c r="L36" s="414">
        <v>81.19</v>
      </c>
      <c r="M36" s="415">
        <f>[9]!Rho_(11,J36,K36)</f>
        <v>1.6005851860513709</v>
      </c>
      <c r="N36" s="502">
        <f t="shared" ref="N36:N44" si="0">N20*(M20/M36)*(I36/I20)^2</f>
        <v>74.38463429032636</v>
      </c>
      <c r="Q36" s="455">
        <f>J36-N36/1000</f>
        <v>9.9456153657096724</v>
      </c>
      <c r="R36" s="503">
        <f>(J37-Q36)*1000</f>
        <v>4.384634290326872</v>
      </c>
      <c r="S36" s="343"/>
      <c r="T36" s="434"/>
      <c r="U36" s="340" t="s">
        <v>483</v>
      </c>
      <c r="V36" s="367">
        <f>[9]!Rho_(11,V32,V34)</f>
        <v>1.6894250737267953</v>
      </c>
      <c r="W36" s="340" t="s">
        <v>483</v>
      </c>
      <c r="X36" s="367">
        <f>[9]!Rho_(11,X31,X33)</f>
        <v>10.699583921473772</v>
      </c>
      <c r="Y36" s="386"/>
      <c r="Z36" s="390"/>
      <c r="AE36" s="343"/>
      <c r="AF36" s="340" t="s">
        <v>483</v>
      </c>
      <c r="AG36" s="367">
        <f>[9]!Rho_(11,AG32,AG34)</f>
        <v>1.6894250737267953</v>
      </c>
      <c r="AH36" s="340" t="s">
        <v>483</v>
      </c>
      <c r="AI36" s="367">
        <f>[9]!Rho_(11,AI31,AI33)</f>
        <v>10.699583921473772</v>
      </c>
      <c r="AJ36" s="386"/>
      <c r="AK36" s="390"/>
      <c r="AP36" s="343"/>
      <c r="AQ36" s="340" t="s">
        <v>483</v>
      </c>
      <c r="AR36" s="367">
        <f>[9]!Rho_(11,AR32,AR34)</f>
        <v>1.6894250737267953</v>
      </c>
      <c r="AS36" s="340" t="s">
        <v>483</v>
      </c>
      <c r="AT36" s="372" t="str">
        <f>[9]!Rho_(11,AT31,AT33)</f>
        <v>NUM</v>
      </c>
      <c r="AU36" s="386"/>
      <c r="AV36" s="390"/>
    </row>
    <row r="37" spans="2:51" ht="13.5" thickBot="1">
      <c r="B37" s="408" t="s">
        <v>464</v>
      </c>
      <c r="C37" s="403">
        <f>N42</f>
        <v>14.965118289578006</v>
      </c>
      <c r="D37" s="404" t="s">
        <v>503</v>
      </c>
      <c r="E37" s="403">
        <f>N37</f>
        <v>17.337437031583594</v>
      </c>
      <c r="F37" s="404" t="s">
        <v>503</v>
      </c>
      <c r="H37" s="438" t="s">
        <v>577</v>
      </c>
      <c r="I37" s="416">
        <f>I36</f>
        <v>50.46</v>
      </c>
      <c r="J37" s="415">
        <v>9.9499999999999993</v>
      </c>
      <c r="K37" s="416">
        <f>+L36</f>
        <v>81.19</v>
      </c>
      <c r="L37" s="417">
        <v>43.38</v>
      </c>
      <c r="M37" s="416">
        <f>[9]!Rho_(11,J37,K37)</f>
        <v>5.7982064140935998</v>
      </c>
      <c r="N37" s="502">
        <f t="shared" si="0"/>
        <v>17.337437031583594</v>
      </c>
      <c r="P37" s="432"/>
      <c r="S37" s="346"/>
      <c r="T37" s="436"/>
      <c r="U37" s="347" t="s">
        <v>463</v>
      </c>
      <c r="V37" s="362">
        <v>8.6</v>
      </c>
      <c r="W37" s="347" t="s">
        <v>463</v>
      </c>
      <c r="X37" s="362">
        <v>2.4969999999999999</v>
      </c>
      <c r="Y37" s="391"/>
      <c r="Z37" s="392"/>
      <c r="AE37" s="346"/>
      <c r="AF37" s="347" t="s">
        <v>463</v>
      </c>
      <c r="AG37" s="362">
        <v>8.6</v>
      </c>
      <c r="AH37" s="347" t="s">
        <v>463</v>
      </c>
      <c r="AI37" s="362">
        <v>2.4969999999999999</v>
      </c>
      <c r="AJ37" s="391"/>
      <c r="AK37" s="392"/>
      <c r="AL37" s="94"/>
      <c r="AP37" s="346"/>
      <c r="AQ37" s="347" t="s">
        <v>463</v>
      </c>
      <c r="AR37" s="362">
        <v>8.6</v>
      </c>
      <c r="AS37" s="347" t="s">
        <v>463</v>
      </c>
      <c r="AT37" s="362">
        <v>2.4969999999999999</v>
      </c>
      <c r="AU37" s="391"/>
      <c r="AV37" s="392"/>
    </row>
    <row r="38" spans="2:51">
      <c r="B38" s="408" t="s">
        <v>466</v>
      </c>
      <c r="C38" s="404" t="s">
        <v>504</v>
      </c>
      <c r="D38" s="404" t="s">
        <v>503</v>
      </c>
      <c r="E38" s="411">
        <f>N38</f>
        <v>68.489034970055627</v>
      </c>
      <c r="F38" s="404" t="s">
        <v>503</v>
      </c>
      <c r="H38" s="439" t="s">
        <v>466</v>
      </c>
      <c r="I38" s="428">
        <f>I37</f>
        <v>50.46</v>
      </c>
      <c r="J38" s="429">
        <v>9.9499999999999993</v>
      </c>
      <c r="K38" s="428">
        <f>L37</f>
        <v>43.38</v>
      </c>
      <c r="L38" s="428">
        <f>K38</f>
        <v>43.38</v>
      </c>
      <c r="M38" s="428">
        <f>[9]!Rho_(11,J38,K38)</f>
        <v>10.763132680603215</v>
      </c>
      <c r="N38" s="502">
        <f t="shared" si="0"/>
        <v>68.489034970055627</v>
      </c>
      <c r="O38" s="431" t="s">
        <v>488</v>
      </c>
      <c r="P38" s="440">
        <f>N36+N37+N38</f>
        <v>160.21110629196556</v>
      </c>
      <c r="S38" s="339"/>
      <c r="T38" s="434"/>
      <c r="U38" s="340" t="s">
        <v>460</v>
      </c>
      <c r="V38" s="385">
        <f>V39-V44/1000</f>
        <v>1.2735285000000001</v>
      </c>
      <c r="W38" s="340" t="s">
        <v>458</v>
      </c>
      <c r="X38" s="353">
        <f>X32</f>
        <v>9.8849029999999996</v>
      </c>
      <c r="Y38" s="340" t="s">
        <v>458</v>
      </c>
      <c r="Z38" s="353">
        <v>5.55</v>
      </c>
      <c r="AE38" s="339"/>
      <c r="AF38" s="340" t="s">
        <v>460</v>
      </c>
      <c r="AG38" s="385">
        <f>AG39-AG44/1000</f>
        <v>1.2735285000000001</v>
      </c>
      <c r="AH38" s="340" t="s">
        <v>458</v>
      </c>
      <c r="AI38" s="353">
        <f>AI32</f>
        <v>9.8849029999999996</v>
      </c>
      <c r="AJ38" s="340" t="s">
        <v>458</v>
      </c>
      <c r="AK38" s="353">
        <v>5.55</v>
      </c>
      <c r="AL38" s="94"/>
      <c r="AP38" s="339"/>
      <c r="AQ38" s="340" t="s">
        <v>460</v>
      </c>
      <c r="AR38" s="385">
        <f>AR39-AR44/1000</f>
        <v>1.2735285000000001</v>
      </c>
      <c r="AS38" s="340" t="s">
        <v>458</v>
      </c>
      <c r="AT38" s="353">
        <f>AT32</f>
        <v>14.483182999999999</v>
      </c>
      <c r="AU38" s="340" t="s">
        <v>458</v>
      </c>
      <c r="AV38" s="351"/>
    </row>
    <row r="39" spans="2:51">
      <c r="B39" s="408" t="s">
        <v>473</v>
      </c>
      <c r="C39" s="404" t="s">
        <v>504</v>
      </c>
      <c r="D39" s="404" t="s">
        <v>503</v>
      </c>
      <c r="E39" s="409">
        <v>3.92</v>
      </c>
      <c r="F39" s="404" t="s">
        <v>503</v>
      </c>
      <c r="H39" s="438" t="s">
        <v>578</v>
      </c>
      <c r="I39" s="414">
        <v>12.03</v>
      </c>
      <c r="J39" s="416">
        <v>9.8849999999999998</v>
      </c>
      <c r="K39" s="417">
        <f>43.37</f>
        <v>43.37</v>
      </c>
      <c r="L39" s="417">
        <v>36.54</v>
      </c>
      <c r="M39" s="416">
        <f>[9]!Rho_(11,J39,K39)</f>
        <v>10.697052677840281</v>
      </c>
      <c r="N39" s="502">
        <f t="shared" si="0"/>
        <v>3.8698723634353263</v>
      </c>
      <c r="P39" s="432"/>
      <c r="S39" s="343" t="s">
        <v>474</v>
      </c>
      <c r="T39" s="434"/>
      <c r="U39" s="340" t="s">
        <v>458</v>
      </c>
      <c r="V39" s="384">
        <f>V45</f>
        <v>1.2821285</v>
      </c>
      <c r="W39" s="340" t="s">
        <v>460</v>
      </c>
      <c r="X39" s="355">
        <f>X38-X44/1000</f>
        <v>9.8822309999999991</v>
      </c>
      <c r="Y39" s="340" t="s">
        <v>460</v>
      </c>
      <c r="Z39" s="355">
        <f>Z38-Z44/1000</f>
        <v>5.55</v>
      </c>
      <c r="AB39" s="354" t="s">
        <v>475</v>
      </c>
      <c r="AC39" s="354"/>
      <c r="AE39" s="343" t="s">
        <v>474</v>
      </c>
      <c r="AF39" s="340" t="s">
        <v>458</v>
      </c>
      <c r="AG39" s="384">
        <f>AG45</f>
        <v>1.2821285</v>
      </c>
      <c r="AH39" s="340" t="s">
        <v>460</v>
      </c>
      <c r="AI39" s="355">
        <f>AI38-AI44/1000</f>
        <v>9.8822309999999991</v>
      </c>
      <c r="AJ39" s="340" t="s">
        <v>460</v>
      </c>
      <c r="AK39" s="355">
        <f>AK38-AK44/1000</f>
        <v>5.55</v>
      </c>
      <c r="AP39" s="343" t="s">
        <v>474</v>
      </c>
      <c r="AQ39" s="340" t="s">
        <v>458</v>
      </c>
      <c r="AR39" s="384">
        <f>AR45</f>
        <v>1.2821285</v>
      </c>
      <c r="AS39" s="340" t="s">
        <v>460</v>
      </c>
      <c r="AT39" s="355">
        <f>AT38-AT44/1000</f>
        <v>14.480510999999998</v>
      </c>
      <c r="AU39" s="340" t="s">
        <v>460</v>
      </c>
      <c r="AV39" s="342"/>
    </row>
    <row r="40" spans="2:51">
      <c r="B40" s="408" t="s">
        <v>474</v>
      </c>
      <c r="C40" s="404" t="s">
        <v>504</v>
      </c>
      <c r="D40" s="409">
        <v>8.14</v>
      </c>
      <c r="E40" s="405" t="s">
        <v>505</v>
      </c>
      <c r="F40" s="404" t="s">
        <v>503</v>
      </c>
      <c r="H40" s="438" t="s">
        <v>579</v>
      </c>
      <c r="I40" s="414">
        <v>12.03</v>
      </c>
      <c r="J40" s="416">
        <v>9.8800000000000008</v>
      </c>
      <c r="K40" s="417">
        <v>20.92</v>
      </c>
      <c r="L40" s="417">
        <v>6.75</v>
      </c>
      <c r="M40" s="416">
        <f>[9]!Rho_(11,J40,K40)</f>
        <v>22.591277891192156</v>
      </c>
      <c r="N40" s="502">
        <f t="shared" si="0"/>
        <v>0.26123985545764095</v>
      </c>
      <c r="S40" s="343"/>
      <c r="T40" s="434"/>
      <c r="U40" s="340" t="s">
        <v>462</v>
      </c>
      <c r="V40" s="364">
        <v>36.17</v>
      </c>
      <c r="W40" s="340" t="s">
        <v>461</v>
      </c>
      <c r="X40" s="366">
        <f>X34</f>
        <v>36.54</v>
      </c>
      <c r="Y40" s="340" t="s">
        <v>461</v>
      </c>
      <c r="Z40" s="364">
        <v>36.81</v>
      </c>
      <c r="AB40" s="94" t="s">
        <v>316</v>
      </c>
      <c r="AC40" s="363">
        <v>1.7310000000000001</v>
      </c>
      <c r="AE40" s="343"/>
      <c r="AF40" s="340" t="s">
        <v>462</v>
      </c>
      <c r="AG40" s="364">
        <v>36.17</v>
      </c>
      <c r="AH40" s="340" t="s">
        <v>461</v>
      </c>
      <c r="AI40" s="366">
        <f>AI34</f>
        <v>36.54</v>
      </c>
      <c r="AJ40" s="340" t="s">
        <v>461</v>
      </c>
      <c r="AK40" s="364">
        <v>36.81</v>
      </c>
      <c r="AM40" s="354" t="s">
        <v>475</v>
      </c>
      <c r="AN40" s="354"/>
      <c r="AP40" s="343"/>
      <c r="AQ40" s="340" t="s">
        <v>462</v>
      </c>
      <c r="AR40" s="364">
        <v>36.17</v>
      </c>
      <c r="AS40" s="340" t="s">
        <v>461</v>
      </c>
      <c r="AT40" s="364"/>
      <c r="AU40" s="340" t="s">
        <v>461</v>
      </c>
      <c r="AV40" s="342"/>
    </row>
    <row r="41" spans="2:51">
      <c r="B41" s="408" t="s">
        <v>477</v>
      </c>
      <c r="C41" s="403">
        <f>N43</f>
        <v>12.191543450214152</v>
      </c>
      <c r="D41" s="404" t="s">
        <v>503</v>
      </c>
      <c r="E41" s="409">
        <v>2.06</v>
      </c>
      <c r="F41" s="404" t="s">
        <v>503</v>
      </c>
      <c r="H41" s="438" t="s">
        <v>572</v>
      </c>
      <c r="I41" s="414">
        <v>45.75</v>
      </c>
      <c r="J41" s="416">
        <v>1.276</v>
      </c>
      <c r="K41" s="418">
        <f>L42</f>
        <v>78.5</v>
      </c>
      <c r="L41" s="417">
        <v>297</v>
      </c>
      <c r="M41" s="416">
        <f>[9]!Rho_(11,J41,K41)</f>
        <v>0.78071642776127803</v>
      </c>
      <c r="N41" s="502">
        <f t="shared" si="0"/>
        <v>145.92110248010553</v>
      </c>
      <c r="S41" s="343"/>
      <c r="T41" s="434"/>
      <c r="U41" s="340" t="s">
        <v>461</v>
      </c>
      <c r="V41" s="366">
        <f>V47</f>
        <v>13.22</v>
      </c>
      <c r="W41" s="340" t="s">
        <v>462</v>
      </c>
      <c r="X41" s="364">
        <v>20.92</v>
      </c>
      <c r="Y41" s="340" t="s">
        <v>462</v>
      </c>
      <c r="Z41" s="364">
        <v>14.92</v>
      </c>
      <c r="AE41" s="343"/>
      <c r="AF41" s="340" t="s">
        <v>461</v>
      </c>
      <c r="AG41" s="366">
        <f>AG47</f>
        <v>13.22</v>
      </c>
      <c r="AH41" s="340" t="s">
        <v>462</v>
      </c>
      <c r="AI41" s="364">
        <v>20.92</v>
      </c>
      <c r="AJ41" s="340" t="s">
        <v>462</v>
      </c>
      <c r="AK41" s="364">
        <v>14.92</v>
      </c>
      <c r="AM41" s="94" t="s">
        <v>316</v>
      </c>
      <c r="AN41" s="363">
        <v>1.7310000000000001</v>
      </c>
      <c r="AP41" s="343"/>
      <c r="AQ41" s="340" t="s">
        <v>461</v>
      </c>
      <c r="AR41" s="366">
        <f>AR47</f>
        <v>13.22</v>
      </c>
      <c r="AS41" s="340" t="s">
        <v>462</v>
      </c>
      <c r="AT41" s="364"/>
      <c r="AU41" s="340" t="s">
        <v>462</v>
      </c>
      <c r="AV41" s="342"/>
      <c r="AX41" s="354" t="s">
        <v>475</v>
      </c>
      <c r="AY41" s="354"/>
    </row>
    <row r="42" spans="2:51">
      <c r="B42" s="408" t="s">
        <v>478</v>
      </c>
      <c r="C42" s="403">
        <f>N44</f>
        <v>1.18</v>
      </c>
      <c r="D42" s="404" t="s">
        <v>503</v>
      </c>
      <c r="E42" s="405" t="s">
        <v>506</v>
      </c>
      <c r="F42" s="404" t="s">
        <v>503</v>
      </c>
      <c r="H42" s="438" t="s">
        <v>573</v>
      </c>
      <c r="I42" s="416">
        <v>33.86</v>
      </c>
      <c r="J42" s="416">
        <v>1.288</v>
      </c>
      <c r="K42" s="416">
        <f>L43</f>
        <v>13.22</v>
      </c>
      <c r="L42" s="417">
        <v>78.5</v>
      </c>
      <c r="M42" s="416">
        <f>[9]!Rho_(11,J42,K42)</f>
        <v>4.7553524908708091</v>
      </c>
      <c r="N42" s="502">
        <f t="shared" si="0"/>
        <v>14.965118289578006</v>
      </c>
      <c r="S42" s="343"/>
      <c r="T42" s="434"/>
      <c r="U42" s="340" t="s">
        <v>316</v>
      </c>
      <c r="V42" s="358">
        <f>V49+AC43-AC44-AC27</f>
        <v>50.46</v>
      </c>
      <c r="W42" s="340" t="s">
        <v>316</v>
      </c>
      <c r="X42" s="358">
        <f>X35</f>
        <v>50.34</v>
      </c>
      <c r="Y42" s="340" t="s">
        <v>316</v>
      </c>
      <c r="Z42" s="358">
        <v>36.58</v>
      </c>
      <c r="AE42" s="343"/>
      <c r="AF42" s="340" t="s">
        <v>316</v>
      </c>
      <c r="AG42" s="358">
        <f>AG49+AN43-AN44-AN27</f>
        <v>45.750100000000003</v>
      </c>
      <c r="AH42" s="340" t="s">
        <v>316</v>
      </c>
      <c r="AI42" s="358">
        <f>AI35</f>
        <v>13.759999999999998</v>
      </c>
      <c r="AJ42" s="340" t="s">
        <v>316</v>
      </c>
      <c r="AK42" s="358">
        <v>36.58</v>
      </c>
      <c r="AP42" s="343"/>
      <c r="AQ42" s="340" t="s">
        <v>316</v>
      </c>
      <c r="AR42" s="358">
        <f>AR49+AY43-AY44-AY27</f>
        <v>-41.629000000000005</v>
      </c>
      <c r="AS42" s="340" t="s">
        <v>316</v>
      </c>
      <c r="AT42" s="358">
        <f>AT35</f>
        <v>10.101999999999997</v>
      </c>
      <c r="AU42" s="340" t="s">
        <v>316</v>
      </c>
      <c r="AV42" s="345"/>
      <c r="AX42" s="94" t="s">
        <v>316</v>
      </c>
      <c r="AY42" s="363">
        <v>1.7310000000000001</v>
      </c>
    </row>
    <row r="43" spans="2:51">
      <c r="C43" s="406">
        <f>SUM(C36:C42)</f>
        <v>174.25776421989769</v>
      </c>
      <c r="D43" s="407">
        <f>SUM(D36:D42)</f>
        <v>8.14</v>
      </c>
      <c r="E43" s="406">
        <f>SUM(E36:E42)</f>
        <v>166.19110629196555</v>
      </c>
      <c r="F43" s="407">
        <f>SUM(F36:F42)</f>
        <v>78</v>
      </c>
      <c r="H43" s="438" t="s">
        <v>574</v>
      </c>
      <c r="I43" s="416">
        <v>33.86</v>
      </c>
      <c r="J43" s="416">
        <v>1.3</v>
      </c>
      <c r="K43" s="416">
        <f>L44</f>
        <v>9.89</v>
      </c>
      <c r="L43" s="417">
        <v>13.22</v>
      </c>
      <c r="M43" s="416">
        <f>[9]!Rho_(11,J43,K43)</f>
        <v>6.5679604338213506</v>
      </c>
      <c r="N43" s="502">
        <f t="shared" si="0"/>
        <v>12.191543450214152</v>
      </c>
      <c r="O43" s="431" t="s">
        <v>487</v>
      </c>
      <c r="P43" s="440">
        <f>SUM(N41:N44)</f>
        <v>174.25776421989769</v>
      </c>
      <c r="S43" s="343"/>
      <c r="T43" s="434"/>
      <c r="U43" s="340" t="s">
        <v>483</v>
      </c>
      <c r="V43" s="367">
        <f>[9]!Rho_(11,V39,V41)</f>
        <v>4.7333814649804848</v>
      </c>
      <c r="W43" s="340" t="s">
        <v>483</v>
      </c>
      <c r="X43" s="367">
        <f>[9]!Rho_(11,X38,X40)</f>
        <v>12.68913849058301</v>
      </c>
      <c r="Y43" s="340"/>
      <c r="Z43" s="367">
        <f>[9]!Rho_(11,Z38,Z40)</f>
        <v>7.1537750485092646</v>
      </c>
      <c r="AE43" s="343"/>
      <c r="AF43" s="340" t="s">
        <v>483</v>
      </c>
      <c r="AG43" s="367">
        <f>[9]!Rho_(11,AG39,AG41)</f>
        <v>4.7333814649804848</v>
      </c>
      <c r="AH43" s="340" t="s">
        <v>483</v>
      </c>
      <c r="AI43" s="367">
        <f>[9]!Rho_(11,AI38,AI40)</f>
        <v>12.68913849058301</v>
      </c>
      <c r="AJ43" s="340"/>
      <c r="AK43" s="367">
        <f>[9]!Rho_(11,AK38,AK40)</f>
        <v>7.1537750485092646</v>
      </c>
      <c r="AP43" s="343"/>
      <c r="AQ43" s="340" t="s">
        <v>483</v>
      </c>
      <c r="AR43" s="367">
        <f>[9]!Rho_(11,AR39,AR41)</f>
        <v>4.7333814649804848</v>
      </c>
      <c r="AS43" s="340" t="s">
        <v>483</v>
      </c>
      <c r="AT43" s="372" t="str">
        <f>[9]!Rho_(11,AT38,AT40)</f>
        <v>NUM</v>
      </c>
      <c r="AU43" s="340"/>
      <c r="AV43" s="345"/>
    </row>
    <row r="44" spans="2:51" ht="13.5" thickBot="1">
      <c r="H44" s="438" t="s">
        <v>575</v>
      </c>
      <c r="I44" s="416">
        <v>6.42</v>
      </c>
      <c r="J44" s="416">
        <v>1.3</v>
      </c>
      <c r="K44" s="417">
        <v>4.5</v>
      </c>
      <c r="L44" s="416">
        <v>9.89</v>
      </c>
      <c r="M44" s="416">
        <f>[9]!Rho_(11,J44,K44)</f>
        <v>22.032640426004637</v>
      </c>
      <c r="N44" s="502">
        <f t="shared" si="0"/>
        <v>1.18</v>
      </c>
      <c r="S44" s="346"/>
      <c r="T44" s="436"/>
      <c r="U44" s="347" t="s">
        <v>463</v>
      </c>
      <c r="V44" s="362">
        <v>8.6</v>
      </c>
      <c r="W44" s="347" t="s">
        <v>463</v>
      </c>
      <c r="X44" s="362">
        <v>2.6720000000000002</v>
      </c>
      <c r="Y44" s="393" t="s">
        <v>463</v>
      </c>
      <c r="Z44" s="394">
        <v>0</v>
      </c>
      <c r="AB44" s="354" t="s">
        <v>476</v>
      </c>
      <c r="AC44" s="354"/>
      <c r="AE44" s="346"/>
      <c r="AF44" s="347" t="s">
        <v>463</v>
      </c>
      <c r="AG44" s="362">
        <v>8.6</v>
      </c>
      <c r="AH44" s="347" t="s">
        <v>463</v>
      </c>
      <c r="AI44" s="362">
        <v>2.6720000000000002</v>
      </c>
      <c r="AJ44" s="393" t="s">
        <v>463</v>
      </c>
      <c r="AK44" s="394">
        <v>0</v>
      </c>
      <c r="AP44" s="346"/>
      <c r="AQ44" s="347" t="s">
        <v>463</v>
      </c>
      <c r="AR44" s="362">
        <v>8.6</v>
      </c>
      <c r="AS44" s="347" t="s">
        <v>463</v>
      </c>
      <c r="AT44" s="362">
        <v>2.6720000000000002</v>
      </c>
      <c r="AU44" s="347" t="s">
        <v>463</v>
      </c>
      <c r="AV44" s="349">
        <f>(AV38-AV39)*1000</f>
        <v>0</v>
      </c>
      <c r="AX44" s="354" t="s">
        <v>476</v>
      </c>
      <c r="AY44" s="354"/>
    </row>
    <row r="45" spans="2:51">
      <c r="S45" s="339"/>
      <c r="T45" s="434"/>
      <c r="U45" s="340" t="s">
        <v>460</v>
      </c>
      <c r="V45" s="385">
        <f>V46-V51/1000</f>
        <v>1.2821285</v>
      </c>
      <c r="W45" s="340" t="s">
        <v>458</v>
      </c>
      <c r="X45" s="353">
        <f>X39</f>
        <v>9.8822309999999991</v>
      </c>
      <c r="Y45" s="386"/>
      <c r="Z45" s="387"/>
      <c r="AB45" s="94" t="s">
        <v>467</v>
      </c>
      <c r="AC45" s="356">
        <f>X51</f>
        <v>1.42</v>
      </c>
      <c r="AE45" s="339"/>
      <c r="AF45" s="340" t="s">
        <v>460</v>
      </c>
      <c r="AG45" s="385">
        <f>AG46-AG51/1000</f>
        <v>1.2821285</v>
      </c>
      <c r="AH45" s="340" t="s">
        <v>458</v>
      </c>
      <c r="AI45" s="353">
        <f>AI39</f>
        <v>9.8822309999999991</v>
      </c>
      <c r="AJ45" s="386"/>
      <c r="AK45" s="387"/>
      <c r="AM45" s="354" t="s">
        <v>476</v>
      </c>
      <c r="AN45" s="354"/>
      <c r="AP45" s="339"/>
      <c r="AQ45" s="340" t="s">
        <v>460</v>
      </c>
      <c r="AR45" s="385">
        <f>AR46-AR51/1000</f>
        <v>1.2821285</v>
      </c>
      <c r="AS45" s="340" t="s">
        <v>458</v>
      </c>
      <c r="AT45" s="353">
        <f>AT39</f>
        <v>14.480510999999998</v>
      </c>
      <c r="AU45" s="386"/>
      <c r="AV45" s="387"/>
      <c r="AX45" s="94" t="s">
        <v>467</v>
      </c>
      <c r="AY45" s="356">
        <f>AT51</f>
        <v>17.14</v>
      </c>
    </row>
    <row r="46" spans="2:51">
      <c r="H46" s="438" t="s">
        <v>580</v>
      </c>
      <c r="I46" s="414">
        <v>36.58</v>
      </c>
      <c r="J46" s="414">
        <v>5.55</v>
      </c>
      <c r="K46" s="414">
        <v>36.81</v>
      </c>
      <c r="L46" s="414">
        <v>14.92</v>
      </c>
      <c r="M46" s="416">
        <f>[9]!Rho_(11,J46,K46)</f>
        <v>7.1537750485092646</v>
      </c>
      <c r="N46" s="502">
        <f>N30*(M30/M46)*(I46/I30)^2</f>
        <v>18.638539009284624</v>
      </c>
      <c r="S46" s="343" t="s">
        <v>477</v>
      </c>
      <c r="T46" s="434"/>
      <c r="U46" s="340" t="s">
        <v>458</v>
      </c>
      <c r="V46" s="384">
        <f>V52</f>
        <v>1.2992684999999999</v>
      </c>
      <c r="W46" s="340" t="s">
        <v>460</v>
      </c>
      <c r="X46" s="355">
        <f>X45-X51/1000</f>
        <v>9.8808109999999996</v>
      </c>
      <c r="Y46" s="386"/>
      <c r="Z46" s="388"/>
      <c r="AB46" s="94" t="s">
        <v>468</v>
      </c>
      <c r="AC46" s="357">
        <v>50</v>
      </c>
      <c r="AE46" s="343" t="s">
        <v>477</v>
      </c>
      <c r="AF46" s="340" t="s">
        <v>458</v>
      </c>
      <c r="AG46" s="384">
        <f>AG52</f>
        <v>1.2992684999999999</v>
      </c>
      <c r="AH46" s="340" t="s">
        <v>460</v>
      </c>
      <c r="AI46" s="355">
        <f>AI45-AI51/1000</f>
        <v>9.8808109999999996</v>
      </c>
      <c r="AJ46" s="386"/>
      <c r="AK46" s="388"/>
      <c r="AM46" s="94" t="s">
        <v>467</v>
      </c>
      <c r="AN46" s="356">
        <f>AI52</f>
        <v>9.8808109999999996</v>
      </c>
      <c r="AP46" s="343" t="s">
        <v>477</v>
      </c>
      <c r="AQ46" s="340" t="s">
        <v>458</v>
      </c>
      <c r="AR46" s="384">
        <f>AR52</f>
        <v>1.2992684999999999</v>
      </c>
      <c r="AS46" s="340" t="s">
        <v>460</v>
      </c>
      <c r="AT46" s="355">
        <f>AT45-AT51/1000</f>
        <v>14.463370999999999</v>
      </c>
      <c r="AU46" s="386"/>
      <c r="AV46" s="388"/>
      <c r="AX46" s="94" t="s">
        <v>468</v>
      </c>
      <c r="AY46" s="357">
        <v>50</v>
      </c>
    </row>
    <row r="47" spans="2:51">
      <c r="H47" s="438" t="s">
        <v>581</v>
      </c>
      <c r="I47" s="414">
        <v>14.02</v>
      </c>
      <c r="J47" s="414">
        <v>1.25</v>
      </c>
      <c r="K47" s="414">
        <v>79.19</v>
      </c>
      <c r="L47" s="414">
        <v>292</v>
      </c>
      <c r="M47" s="416">
        <f>[9]!Rho_(21,J47,K47)</f>
        <v>800.05935919422848</v>
      </c>
      <c r="N47" s="502">
        <f>N31*(M31/M47)*(I47/I31)^2</f>
        <v>22.063407020568846</v>
      </c>
      <c r="S47" s="343"/>
      <c r="T47" s="434"/>
      <c r="U47" s="340" t="s">
        <v>462</v>
      </c>
      <c r="V47" s="364">
        <v>13.22</v>
      </c>
      <c r="W47" s="340" t="s">
        <v>461</v>
      </c>
      <c r="X47" s="366">
        <f>X41</f>
        <v>20.92</v>
      </c>
      <c r="Y47" s="386"/>
      <c r="Z47" s="388"/>
      <c r="AB47" s="94" t="s">
        <v>470</v>
      </c>
      <c r="AC47" s="357">
        <v>50</v>
      </c>
      <c r="AE47" s="343"/>
      <c r="AF47" s="340" t="s">
        <v>462</v>
      </c>
      <c r="AG47" s="364">
        <v>13.22</v>
      </c>
      <c r="AH47" s="340" t="s">
        <v>461</v>
      </c>
      <c r="AI47" s="366">
        <f>AI41</f>
        <v>20.92</v>
      </c>
      <c r="AJ47" s="386"/>
      <c r="AK47" s="388"/>
      <c r="AM47" s="94" t="s">
        <v>468</v>
      </c>
      <c r="AN47" s="357">
        <v>50</v>
      </c>
      <c r="AP47" s="343"/>
      <c r="AQ47" s="340" t="s">
        <v>462</v>
      </c>
      <c r="AR47" s="364">
        <v>13.22</v>
      </c>
      <c r="AS47" s="340" t="s">
        <v>461</v>
      </c>
      <c r="AT47" s="364"/>
      <c r="AU47" s="386"/>
      <c r="AV47" s="388"/>
      <c r="AX47" s="94" t="s">
        <v>470</v>
      </c>
      <c r="AY47" s="357">
        <v>50</v>
      </c>
    </row>
    <row r="48" spans="2:51">
      <c r="S48" s="343"/>
      <c r="T48" s="434"/>
      <c r="U48" s="340" t="s">
        <v>461</v>
      </c>
      <c r="V48" s="364">
        <v>9.8770000000000007</v>
      </c>
      <c r="W48" s="340" t="s">
        <v>462</v>
      </c>
      <c r="X48" s="364">
        <v>9.99</v>
      </c>
      <c r="Y48" s="386"/>
      <c r="Z48" s="388"/>
      <c r="AB48" s="94" t="s">
        <v>471</v>
      </c>
      <c r="AC48" s="360">
        <f>AC45-(AC46+AC47)/1000</f>
        <v>1.3199999999999998</v>
      </c>
      <c r="AE48" s="343"/>
      <c r="AF48" s="340" t="s">
        <v>461</v>
      </c>
      <c r="AG48" s="364">
        <v>9.8770000000000007</v>
      </c>
      <c r="AH48" s="340" t="s">
        <v>462</v>
      </c>
      <c r="AI48" s="364">
        <v>9.99</v>
      </c>
      <c r="AJ48" s="386"/>
      <c r="AK48" s="388"/>
      <c r="AM48" s="94" t="s">
        <v>470</v>
      </c>
      <c r="AN48" s="357">
        <v>50</v>
      </c>
      <c r="AP48" s="343"/>
      <c r="AQ48" s="340" t="s">
        <v>461</v>
      </c>
      <c r="AR48" s="364">
        <v>9.8770000000000007</v>
      </c>
      <c r="AS48" s="340" t="s">
        <v>462</v>
      </c>
      <c r="AT48" s="364"/>
      <c r="AU48" s="386"/>
      <c r="AV48" s="388"/>
      <c r="AX48" s="94" t="s">
        <v>471</v>
      </c>
      <c r="AY48" s="360">
        <f>AY45-(AY46+AY47)/1000</f>
        <v>17.04</v>
      </c>
    </row>
    <row r="49" spans="2:51">
      <c r="H49" s="95" t="s">
        <v>514</v>
      </c>
      <c r="S49" s="343"/>
      <c r="T49" s="434"/>
      <c r="U49" s="340" t="s">
        <v>316</v>
      </c>
      <c r="V49" s="358">
        <f>V56+AC50-AC51-AC34</f>
        <v>50.46</v>
      </c>
      <c r="W49" s="340" t="s">
        <v>316</v>
      </c>
      <c r="X49" s="358">
        <f>X42-AC41</f>
        <v>50.34</v>
      </c>
      <c r="Y49" s="386"/>
      <c r="Z49" s="389"/>
      <c r="AB49" s="94" t="s">
        <v>472</v>
      </c>
      <c r="AC49" s="361">
        <f>AC32</f>
        <v>36.700000000000003</v>
      </c>
      <c r="AE49" s="343"/>
      <c r="AF49" s="340" t="s">
        <v>316</v>
      </c>
      <c r="AG49" s="358">
        <f>AG56+AN50-AN51-AN34</f>
        <v>45.750100000000003</v>
      </c>
      <c r="AH49" s="340" t="s">
        <v>316</v>
      </c>
      <c r="AI49" s="358">
        <f>AI42-AN41</f>
        <v>12.028999999999998</v>
      </c>
      <c r="AJ49" s="386"/>
      <c r="AK49" s="389"/>
      <c r="AM49" s="94" t="s">
        <v>458</v>
      </c>
      <c r="AN49" s="360">
        <f>AN46-(AN47+AN48)/1000</f>
        <v>9.7808109999999999</v>
      </c>
      <c r="AP49" s="343"/>
      <c r="AQ49" s="340" t="s">
        <v>316</v>
      </c>
      <c r="AR49" s="358">
        <f>AR56+AY50-AY51-AY34</f>
        <v>8.3709999999999969</v>
      </c>
      <c r="AS49" s="340" t="s">
        <v>316</v>
      </c>
      <c r="AT49" s="358">
        <f>AT42-AY42</f>
        <v>8.3709999999999969</v>
      </c>
      <c r="AU49" s="386"/>
      <c r="AV49" s="389"/>
      <c r="AX49" s="94" t="s">
        <v>472</v>
      </c>
      <c r="AY49" s="361">
        <f>AY29</f>
        <v>27.158000000000001</v>
      </c>
    </row>
    <row r="50" spans="2:51">
      <c r="H50" s="427" t="s">
        <v>466</v>
      </c>
      <c r="I50" s="428">
        <f>+I22</f>
        <v>37.26</v>
      </c>
      <c r="J50" s="428">
        <f>+J22</f>
        <v>14.535629999999999</v>
      </c>
      <c r="K50" s="428">
        <f>+K22</f>
        <v>37.549999999999997</v>
      </c>
      <c r="L50" s="428">
        <f>+L22</f>
        <v>37.549999999999997</v>
      </c>
      <c r="M50" s="428">
        <f>+M22</f>
        <v>17.932631750875878</v>
      </c>
      <c r="N50" s="428">
        <v>80</v>
      </c>
      <c r="O50" s="441" t="s">
        <v>513</v>
      </c>
      <c r="S50" s="343"/>
      <c r="T50" s="434"/>
      <c r="U50" s="340" t="s">
        <v>483</v>
      </c>
      <c r="V50" s="367">
        <f>[9]!Rho_(11,V46,V48)</f>
        <v>6.573753609953144</v>
      </c>
      <c r="W50" s="340" t="s">
        <v>483</v>
      </c>
      <c r="X50" s="367">
        <f>[9]!Rho_(11,X45,X47)</f>
        <v>22.596311038890686</v>
      </c>
      <c r="Y50" s="386"/>
      <c r="Z50" s="390"/>
      <c r="AB50" s="91" t="s">
        <v>498</v>
      </c>
      <c r="AC50" s="331">
        <v>0.12</v>
      </c>
      <c r="AE50" s="343"/>
      <c r="AF50" s="340" t="s">
        <v>483</v>
      </c>
      <c r="AG50" s="367">
        <f>[9]!Rho_(11,AG46,AG48)</f>
        <v>6.573753609953144</v>
      </c>
      <c r="AH50" s="340" t="s">
        <v>483</v>
      </c>
      <c r="AI50" s="367">
        <f>[9]!Rho_(11,AI45,AI47)</f>
        <v>22.596311038890686</v>
      </c>
      <c r="AJ50" s="386"/>
      <c r="AK50" s="390"/>
      <c r="AM50" s="94" t="s">
        <v>316</v>
      </c>
      <c r="AN50" s="331">
        <f>AN33</f>
        <v>36.700000000000003</v>
      </c>
      <c r="AP50" s="343"/>
      <c r="AQ50" s="340" t="s">
        <v>483</v>
      </c>
      <c r="AR50" s="367">
        <f>[9]!Rho_(11,AR46,AR48)</f>
        <v>6.573753609953144</v>
      </c>
      <c r="AS50" s="340" t="s">
        <v>483</v>
      </c>
      <c r="AT50" s="372" t="str">
        <f>[9]!Rho_(11,AT45,AT47)</f>
        <v>NUM</v>
      </c>
      <c r="AU50" s="386"/>
      <c r="AV50" s="390"/>
    </row>
    <row r="51" spans="2:51" ht="13.5" thickBot="1">
      <c r="S51" s="346"/>
      <c r="T51" s="436"/>
      <c r="U51" s="347" t="s">
        <v>463</v>
      </c>
      <c r="V51" s="362">
        <v>17.14</v>
      </c>
      <c r="W51" s="347" t="s">
        <v>463</v>
      </c>
      <c r="X51" s="362">
        <v>1.42</v>
      </c>
      <c r="Y51" s="391"/>
      <c r="Z51" s="392"/>
      <c r="AE51" s="346"/>
      <c r="AF51" s="347" t="s">
        <v>463</v>
      </c>
      <c r="AG51" s="362">
        <v>17.14</v>
      </c>
      <c r="AH51" s="347" t="s">
        <v>463</v>
      </c>
      <c r="AI51" s="362">
        <v>1.42</v>
      </c>
      <c r="AJ51" s="391"/>
      <c r="AK51" s="392"/>
      <c r="AM51" s="91" t="s">
        <v>498</v>
      </c>
      <c r="AN51" s="331">
        <v>0.12</v>
      </c>
      <c r="AP51" s="346"/>
      <c r="AQ51" s="347" t="s">
        <v>463</v>
      </c>
      <c r="AR51" s="362">
        <v>17.14</v>
      </c>
      <c r="AS51" s="347" t="s">
        <v>463</v>
      </c>
      <c r="AT51" s="362">
        <v>17.14</v>
      </c>
      <c r="AU51" s="391"/>
      <c r="AV51" s="392"/>
    </row>
    <row r="52" spans="2:51">
      <c r="H52" s="427" t="s">
        <v>466</v>
      </c>
      <c r="I52" s="428">
        <f>I38</f>
        <v>50.46</v>
      </c>
      <c r="J52" s="428">
        <f>J38</f>
        <v>9.9499999999999993</v>
      </c>
      <c r="K52" s="428">
        <f>K38</f>
        <v>43.38</v>
      </c>
      <c r="L52" s="428">
        <f>L38</f>
        <v>43.38</v>
      </c>
      <c r="M52" s="428">
        <f>M38</f>
        <v>10.763132680603215</v>
      </c>
      <c r="N52" s="428">
        <f>N50*(M50/M52)*(I52/I50)^2</f>
        <v>244.45792130665492</v>
      </c>
      <c r="S52" s="339"/>
      <c r="T52" s="434"/>
      <c r="U52" s="340" t="s">
        <v>460</v>
      </c>
      <c r="V52" s="385">
        <f>V53-V58/1000</f>
        <v>1.2992684999999999</v>
      </c>
      <c r="W52" s="340" t="s">
        <v>458</v>
      </c>
      <c r="X52" s="353">
        <f>X46</f>
        <v>9.8808109999999996</v>
      </c>
      <c r="Y52" s="386"/>
      <c r="Z52" s="387"/>
      <c r="AE52" s="339"/>
      <c r="AF52" s="340" t="s">
        <v>460</v>
      </c>
      <c r="AG52" s="385">
        <f>AG53-AG58/1000</f>
        <v>1.2992684999999999</v>
      </c>
      <c r="AH52" s="340" t="s">
        <v>458</v>
      </c>
      <c r="AI52" s="353">
        <f>AI46</f>
        <v>9.8808109999999996</v>
      </c>
      <c r="AJ52" s="386"/>
      <c r="AK52" s="387"/>
      <c r="AP52" s="339"/>
      <c r="AQ52" s="340" t="s">
        <v>460</v>
      </c>
      <c r="AR52" s="385">
        <f>AR53-AR58/1000</f>
        <v>1.2992684999999999</v>
      </c>
      <c r="AS52" s="340" t="s">
        <v>458</v>
      </c>
      <c r="AT52" s="353">
        <f>AT46</f>
        <v>14.463370999999999</v>
      </c>
      <c r="AU52" s="386"/>
      <c r="AV52" s="387"/>
    </row>
    <row r="53" spans="2:51">
      <c r="S53" s="343" t="s">
        <v>478</v>
      </c>
      <c r="T53" s="434"/>
      <c r="U53" s="340" t="s">
        <v>458</v>
      </c>
      <c r="V53" s="341">
        <v>1.3</v>
      </c>
      <c r="W53" s="340" t="s">
        <v>460</v>
      </c>
      <c r="X53" s="355">
        <f>X52-X58/1000</f>
        <v>9.8795710000000003</v>
      </c>
      <c r="Y53" s="386"/>
      <c r="Z53" s="388"/>
      <c r="AE53" s="343" t="s">
        <v>478</v>
      </c>
      <c r="AF53" s="340" t="s">
        <v>458</v>
      </c>
      <c r="AG53" s="341">
        <v>1.3</v>
      </c>
      <c r="AH53" s="340" t="s">
        <v>460</v>
      </c>
      <c r="AI53" s="355">
        <f>AI52-AI58/1000</f>
        <v>9.8795710000000003</v>
      </c>
      <c r="AJ53" s="386"/>
      <c r="AK53" s="388"/>
      <c r="AM53" s="354" t="s">
        <v>497</v>
      </c>
      <c r="AN53" s="354"/>
      <c r="AP53" s="343" t="s">
        <v>478</v>
      </c>
      <c r="AQ53" s="340" t="s">
        <v>458</v>
      </c>
      <c r="AR53" s="341">
        <v>1.3</v>
      </c>
      <c r="AS53" s="340" t="s">
        <v>460</v>
      </c>
      <c r="AT53" s="355">
        <f>AT52-AT58/1000</f>
        <v>14.462130999999999</v>
      </c>
      <c r="AU53" s="386"/>
      <c r="AV53" s="388"/>
    </row>
    <row r="54" spans="2:51" ht="13.5" thickBot="1">
      <c r="B54" s="232" t="s">
        <v>516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S54" s="343"/>
      <c r="T54" s="434"/>
      <c r="U54" s="340" t="s">
        <v>462</v>
      </c>
      <c r="V54" s="364">
        <v>9.89</v>
      </c>
      <c r="W54" s="340" t="s">
        <v>461</v>
      </c>
      <c r="X54" s="366">
        <f>X48</f>
        <v>9.99</v>
      </c>
      <c r="Y54" s="386"/>
      <c r="Z54" s="388"/>
      <c r="AE54" s="343"/>
      <c r="AF54" s="340" t="s">
        <v>462</v>
      </c>
      <c r="AG54" s="364">
        <v>9.89</v>
      </c>
      <c r="AH54" s="340" t="s">
        <v>461</v>
      </c>
      <c r="AI54" s="366">
        <f>AI48</f>
        <v>9.99</v>
      </c>
      <c r="AJ54" s="386"/>
      <c r="AK54" s="388"/>
      <c r="AL54" s="94"/>
      <c r="AM54" s="91" t="s">
        <v>494</v>
      </c>
      <c r="AN54" s="91">
        <v>0.61509999999999998</v>
      </c>
      <c r="AP54" s="343"/>
      <c r="AQ54" s="340" t="s">
        <v>462</v>
      </c>
      <c r="AR54" s="364">
        <v>9.89</v>
      </c>
      <c r="AS54" s="340" t="s">
        <v>461</v>
      </c>
      <c r="AT54" s="364"/>
      <c r="AU54" s="386"/>
      <c r="AV54" s="388"/>
    </row>
    <row r="55" spans="2:51">
      <c r="S55" s="343"/>
      <c r="T55" s="434"/>
      <c r="U55" s="340" t="s">
        <v>461</v>
      </c>
      <c r="V55" s="364">
        <v>4.5</v>
      </c>
      <c r="W55" s="340" t="s">
        <v>462</v>
      </c>
      <c r="X55" s="364">
        <v>6.7539999999999996</v>
      </c>
      <c r="Y55" s="386"/>
      <c r="Z55" s="388"/>
      <c r="AE55" s="343"/>
      <c r="AF55" s="340" t="s">
        <v>461</v>
      </c>
      <c r="AG55" s="364">
        <v>4.5</v>
      </c>
      <c r="AH55" s="340" t="s">
        <v>462</v>
      </c>
      <c r="AI55" s="364">
        <v>6.7539999999999996</v>
      </c>
      <c r="AJ55" s="386"/>
      <c r="AK55" s="388"/>
      <c r="AL55" s="94"/>
      <c r="AM55" s="94" t="s">
        <v>495</v>
      </c>
      <c r="AN55" s="94">
        <f>3.319</f>
        <v>3.319</v>
      </c>
      <c r="AP55" s="343"/>
      <c r="AQ55" s="340" t="s">
        <v>461</v>
      </c>
      <c r="AR55" s="364">
        <v>4.5</v>
      </c>
      <c r="AS55" s="340" t="s">
        <v>462</v>
      </c>
      <c r="AT55" s="364"/>
      <c r="AU55" s="386"/>
      <c r="AV55" s="388"/>
    </row>
    <row r="56" spans="2:51">
      <c r="C56" s="229" t="s">
        <v>499</v>
      </c>
      <c r="D56" s="229" t="s">
        <v>500</v>
      </c>
      <c r="E56" s="229" t="s">
        <v>501</v>
      </c>
      <c r="F56" s="229" t="s">
        <v>502</v>
      </c>
      <c r="S56" s="343"/>
      <c r="T56" s="434"/>
      <c r="U56" s="340" t="s">
        <v>316</v>
      </c>
      <c r="V56" s="358">
        <f>X56-AC55-AC56+AC54</f>
        <v>50.34</v>
      </c>
      <c r="W56" s="340" t="s">
        <v>316</v>
      </c>
      <c r="X56" s="358">
        <f>X49</f>
        <v>50.34</v>
      </c>
      <c r="Y56" s="386"/>
      <c r="Z56" s="389"/>
      <c r="AE56" s="343"/>
      <c r="AF56" s="340" t="s">
        <v>316</v>
      </c>
      <c r="AG56" s="358">
        <f>AI56-AN55-AN56+AN54</f>
        <v>9.2900999999999971</v>
      </c>
      <c r="AH56" s="340" t="s">
        <v>316</v>
      </c>
      <c r="AI56" s="358">
        <f>AI49</f>
        <v>12.028999999999998</v>
      </c>
      <c r="AJ56" s="386"/>
      <c r="AK56" s="389"/>
      <c r="AM56" s="94" t="s">
        <v>496</v>
      </c>
      <c r="AN56" s="94">
        <v>3.5000000000000003E-2</v>
      </c>
      <c r="AP56" s="343"/>
      <c r="AQ56" s="340" t="s">
        <v>316</v>
      </c>
      <c r="AR56" s="358">
        <f>AT56-AY55-AY56+AY54</f>
        <v>8.3709999999999969</v>
      </c>
      <c r="AS56" s="340" t="s">
        <v>316</v>
      </c>
      <c r="AT56" s="358">
        <f>AT49-AY53</f>
        <v>8.3709999999999969</v>
      </c>
      <c r="AU56" s="386"/>
      <c r="AV56" s="389"/>
    </row>
    <row r="57" spans="2:51">
      <c r="B57" s="408" t="s">
        <v>459</v>
      </c>
      <c r="C57" s="403">
        <f>+AG16</f>
        <v>135.19999999999999</v>
      </c>
      <c r="D57" s="410" t="s">
        <v>503</v>
      </c>
      <c r="E57" s="411">
        <f>+AI16</f>
        <v>74.38463429032636</v>
      </c>
      <c r="F57" s="411">
        <v>0</v>
      </c>
      <c r="S57" s="343"/>
      <c r="T57" s="434"/>
      <c r="U57" s="340" t="s">
        <v>483</v>
      </c>
      <c r="V57" s="367">
        <f>[9]!Rho_(11,V53,V55)</f>
        <v>22.032640426004637</v>
      </c>
      <c r="W57" s="340" t="s">
        <v>483</v>
      </c>
      <c r="X57" s="367">
        <f>[9]!Rho_(11,X52,X54)</f>
        <v>60.67066039400779</v>
      </c>
      <c r="Y57" s="386"/>
      <c r="Z57" s="390"/>
      <c r="AE57" s="343"/>
      <c r="AF57" s="340" t="s">
        <v>483</v>
      </c>
      <c r="AG57" s="367">
        <f>[9]!Rho_(11,AG53,AG55)</f>
        <v>22.032640426004637</v>
      </c>
      <c r="AH57" s="340" t="s">
        <v>483</v>
      </c>
      <c r="AI57" s="367">
        <f>[9]!Rho_(11,AI52,AI54)</f>
        <v>60.67066039400779</v>
      </c>
      <c r="AJ57" s="386"/>
      <c r="AK57" s="390"/>
      <c r="AP57" s="343"/>
      <c r="AQ57" s="340" t="s">
        <v>483</v>
      </c>
      <c r="AR57" s="367">
        <f>[9]!Rho_(11,AR53,AR55)</f>
        <v>22.032640426004637</v>
      </c>
      <c r="AS57" s="340" t="s">
        <v>483</v>
      </c>
      <c r="AT57" s="372" t="str">
        <f>[9]!Rho_(11,AT52,AT54)</f>
        <v>NUM</v>
      </c>
      <c r="AU57" s="386"/>
      <c r="AV57" s="390"/>
    </row>
    <row r="58" spans="2:51" ht="13.5" thickBot="1">
      <c r="B58" s="408" t="s">
        <v>464</v>
      </c>
      <c r="C58" s="403">
        <f>+AG23+AG37+AG44</f>
        <v>25.5</v>
      </c>
      <c r="D58" s="410" t="s">
        <v>503</v>
      </c>
      <c r="E58" s="411">
        <f>+AI23</f>
        <v>14.6</v>
      </c>
      <c r="F58" s="410" t="s">
        <v>503</v>
      </c>
      <c r="S58" s="346"/>
      <c r="T58" s="436"/>
      <c r="U58" s="347" t="s">
        <v>463</v>
      </c>
      <c r="V58" s="362">
        <f>0.7315</f>
        <v>0.73150000000000004</v>
      </c>
      <c r="W58" s="347" t="s">
        <v>463</v>
      </c>
      <c r="X58" s="362">
        <v>1.24</v>
      </c>
      <c r="Y58" s="391"/>
      <c r="Z58" s="392"/>
      <c r="AE58" s="346"/>
      <c r="AF58" s="347" t="s">
        <v>463</v>
      </c>
      <c r="AG58" s="362">
        <f>0.7315</f>
        <v>0.73150000000000004</v>
      </c>
      <c r="AH58" s="347" t="s">
        <v>463</v>
      </c>
      <c r="AI58" s="362">
        <v>1.24</v>
      </c>
      <c r="AJ58" s="391"/>
      <c r="AK58" s="392"/>
      <c r="AP58" s="346"/>
      <c r="AQ58" s="347" t="s">
        <v>463</v>
      </c>
      <c r="AR58" s="362">
        <f>0.7315</f>
        <v>0.73150000000000004</v>
      </c>
      <c r="AS58" s="347" t="s">
        <v>463</v>
      </c>
      <c r="AT58" s="362">
        <v>1.24</v>
      </c>
      <c r="AU58" s="391"/>
      <c r="AV58" s="392"/>
    </row>
    <row r="59" spans="2:51">
      <c r="B59" s="408" t="s">
        <v>466</v>
      </c>
      <c r="C59" s="404" t="s">
        <v>504</v>
      </c>
      <c r="D59" s="404" t="s">
        <v>503</v>
      </c>
      <c r="E59" s="411">
        <v>50</v>
      </c>
      <c r="F59" s="404" t="s">
        <v>503</v>
      </c>
    </row>
    <row r="60" spans="2:51">
      <c r="B60" s="408" t="s">
        <v>473</v>
      </c>
      <c r="C60" s="404" t="s">
        <v>504</v>
      </c>
      <c r="D60" s="410" t="s">
        <v>503</v>
      </c>
      <c r="E60" s="411">
        <f>+AI37+AI44</f>
        <v>5.1690000000000005</v>
      </c>
      <c r="F60" s="410" t="s">
        <v>503</v>
      </c>
      <c r="S60" s="377"/>
      <c r="T60" s="377"/>
      <c r="U60" s="378" t="s">
        <v>487</v>
      </c>
      <c r="V60" s="379">
        <f>+V16+V23+V30+V37+V44+V51+V58</f>
        <v>178.57149999999999</v>
      </c>
      <c r="W60" s="378" t="s">
        <v>488</v>
      </c>
      <c r="X60" s="379">
        <f>+X16+X23+X30+X37+X44+X51+X58</f>
        <v>142.92899999999997</v>
      </c>
      <c r="Y60" s="378" t="s">
        <v>489</v>
      </c>
      <c r="Z60" s="379">
        <f>+Z16+Z23+Z30+Z37+Z44+Z51+Z58</f>
        <v>0</v>
      </c>
      <c r="AE60" s="377"/>
      <c r="AF60" s="378" t="s">
        <v>487</v>
      </c>
      <c r="AG60" s="379">
        <f>+AG16+AG23+AG30+AG37+AG44+AG51+AG58</f>
        <v>178.57149999999999</v>
      </c>
      <c r="AH60" s="378" t="s">
        <v>488</v>
      </c>
      <c r="AI60" s="379">
        <f>+AI16+AI23+AI30+AI37+AI44+AI51+AI58</f>
        <v>146.81363429032638</v>
      </c>
      <c r="AJ60" s="378" t="s">
        <v>489</v>
      </c>
      <c r="AK60" s="379">
        <f>+AK16+AK23+AK30+AK37+AK44+AK51+AK58</f>
        <v>0</v>
      </c>
      <c r="AP60" s="377"/>
      <c r="AQ60" s="378" t="s">
        <v>487</v>
      </c>
      <c r="AR60" s="379">
        <f>+AR16+AR23+AR30+AR37+AR44+AR51+AR58</f>
        <v>123.30149999999999</v>
      </c>
      <c r="AS60" s="378" t="s">
        <v>488</v>
      </c>
      <c r="AT60" s="379">
        <f>+AT16+AT23+AT30+AT37+AT44+AT51+AT58</f>
        <v>107.86899999999999</v>
      </c>
      <c r="AU60" s="378" t="s">
        <v>489</v>
      </c>
      <c r="AV60" s="379">
        <f>+AV16+AV23+AV30+AV37+AV44+AV51+AV58</f>
        <v>0</v>
      </c>
    </row>
    <row r="61" spans="2:51">
      <c r="B61" s="408" t="s">
        <v>474</v>
      </c>
      <c r="C61" s="404" t="s">
        <v>504</v>
      </c>
      <c r="D61" s="411">
        <v>0</v>
      </c>
      <c r="E61" s="412" t="s">
        <v>505</v>
      </c>
      <c r="F61" s="410" t="s">
        <v>503</v>
      </c>
      <c r="S61" s="94"/>
      <c r="T61" s="94"/>
      <c r="U61" s="94"/>
      <c r="V61" s="94"/>
      <c r="W61" s="94"/>
      <c r="X61" s="94"/>
      <c r="Y61" s="94"/>
      <c r="Z61" s="94"/>
      <c r="AP61" s="94"/>
      <c r="AQ61" s="94"/>
      <c r="AR61" s="94"/>
      <c r="AS61" s="94"/>
      <c r="AT61" s="94"/>
      <c r="AU61" s="94"/>
      <c r="AV61" s="94"/>
    </row>
    <row r="62" spans="2:51">
      <c r="B62" s="408" t="s">
        <v>477</v>
      </c>
      <c r="C62" s="403">
        <f>+AG51</f>
        <v>17.14</v>
      </c>
      <c r="D62" s="410" t="s">
        <v>503</v>
      </c>
      <c r="E62" s="411">
        <f>AI51+AI58</f>
        <v>2.66</v>
      </c>
      <c r="F62" s="410" t="s">
        <v>503</v>
      </c>
    </row>
    <row r="63" spans="2:51">
      <c r="B63" s="408" t="s">
        <v>478</v>
      </c>
      <c r="C63" s="403">
        <f>+AG58</f>
        <v>0.73150000000000004</v>
      </c>
      <c r="D63" s="410" t="s">
        <v>503</v>
      </c>
      <c r="E63" s="412" t="s">
        <v>506</v>
      </c>
      <c r="F63" s="410" t="s">
        <v>503</v>
      </c>
    </row>
    <row r="64" spans="2:51">
      <c r="C64" s="406">
        <f>SUM(C57:C63)</f>
        <v>178.57149999999999</v>
      </c>
      <c r="D64" s="407">
        <f>SUM(D57:D63)</f>
        <v>0</v>
      </c>
      <c r="E64" s="406">
        <f>SUM(E57:E63)</f>
        <v>146.81363429032638</v>
      </c>
      <c r="F64" s="407">
        <f>SUM(F57:F63)</f>
        <v>0</v>
      </c>
    </row>
    <row r="109" spans="40:41">
      <c r="AN109" s="94"/>
      <c r="AO109" s="361"/>
    </row>
    <row r="110" spans="40:41">
      <c r="AN110" s="94"/>
      <c r="AO110" s="361"/>
    </row>
    <row r="117" spans="6:35">
      <c r="F117" s="94"/>
      <c r="G117" s="94"/>
      <c r="H117" s="94"/>
      <c r="I117" s="94"/>
      <c r="J117" s="94"/>
      <c r="K117" s="94"/>
      <c r="L117" s="94"/>
      <c r="M117" s="94"/>
      <c r="T117" s="382">
        <f>AG60-V60</f>
        <v>0</v>
      </c>
      <c r="V117" s="382">
        <f>AI60-X60</f>
        <v>3.8846342903264031</v>
      </c>
      <c r="X117" s="382">
        <f>AK60-Z60</f>
        <v>0</v>
      </c>
      <c r="AC117" s="94"/>
      <c r="AD117" s="94"/>
      <c r="AE117" s="94"/>
      <c r="AF117" s="94"/>
      <c r="AG117" s="94"/>
      <c r="AH117" s="94"/>
      <c r="AI117" s="94"/>
    </row>
    <row r="119" spans="6:35">
      <c r="F119" s="94"/>
      <c r="G119" s="94"/>
      <c r="H119" s="94"/>
      <c r="I119" s="94"/>
      <c r="J119" s="94"/>
      <c r="K119" s="94"/>
    </row>
    <row r="120" spans="6:35">
      <c r="F120" s="94"/>
      <c r="G120" s="94"/>
      <c r="H120" s="94"/>
      <c r="I120" s="94"/>
      <c r="J120" s="94"/>
      <c r="K120" s="94"/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Feuil10"/>
  <dimension ref="B2:J70"/>
  <sheetViews>
    <sheetView topLeftCell="A34" zoomScaleNormal="100" zoomScaleSheetLayoutView="100" workbookViewId="0">
      <selection activeCell="K75" sqref="K75"/>
    </sheetView>
  </sheetViews>
  <sheetFormatPr defaultColWidth="11.42578125" defaultRowHeight="12.75"/>
  <cols>
    <col min="1" max="5" width="11.42578125" style="91" customWidth="1"/>
    <col min="6" max="6" width="14.140625" style="91" customWidth="1"/>
    <col min="7" max="16384" width="11.42578125" style="91"/>
  </cols>
  <sheetData>
    <row r="2" spans="2:10">
      <c r="B2" s="89" t="s">
        <v>385</v>
      </c>
      <c r="C2" s="89"/>
      <c r="D2" s="89"/>
      <c r="E2" s="89"/>
      <c r="F2" s="89"/>
      <c r="G2" s="89"/>
      <c r="H2" s="89"/>
      <c r="I2" s="89"/>
      <c r="J2" s="89"/>
    </row>
    <row r="27" spans="2:7">
      <c r="C27" s="91">
        <v>310</v>
      </c>
      <c r="D27" s="91" t="s">
        <v>96</v>
      </c>
      <c r="F27" s="91">
        <v>310</v>
      </c>
      <c r="G27" s="91" t="s">
        <v>96</v>
      </c>
    </row>
    <row r="28" spans="2:7">
      <c r="C28" s="91">
        <v>4.45</v>
      </c>
      <c r="D28" s="91" t="s">
        <v>379</v>
      </c>
      <c r="F28" s="91">
        <v>18.600000000000001</v>
      </c>
      <c r="G28" s="91" t="s">
        <v>379</v>
      </c>
    </row>
    <row r="29" spans="2:7">
      <c r="C29" s="91">
        <v>814</v>
      </c>
      <c r="D29" s="91" t="s">
        <v>86</v>
      </c>
    </row>
    <row r="30" spans="2:7">
      <c r="B30" s="91" t="s">
        <v>148</v>
      </c>
      <c r="C30" s="91">
        <f>[10]!HeCalc(16,0,1,C28*100000,2,C27,1)</f>
        <v>1.6661461250975953</v>
      </c>
    </row>
    <row r="32" spans="2:7">
      <c r="C32" s="95" t="s">
        <v>380</v>
      </c>
    </row>
    <row r="33" spans="3:9">
      <c r="C33" s="91">
        <f>C29/1000/4.004*8.3145*C27*C30/(C30-1)*((F28/C28)^((C30-1)/C30)-1)</f>
        <v>1011.1507262577983</v>
      </c>
      <c r="D33" s="91" t="s">
        <v>381</v>
      </c>
    </row>
    <row r="34" spans="3:9">
      <c r="C34" s="91">
        <f>C33/I34</f>
        <v>1348.2009683437311</v>
      </c>
      <c r="D34" s="91" t="s">
        <v>381</v>
      </c>
      <c r="E34" s="91" t="s">
        <v>382</v>
      </c>
      <c r="I34" s="289">
        <v>0.75</v>
      </c>
    </row>
    <row r="36" spans="3:9">
      <c r="C36" s="95" t="s">
        <v>383</v>
      </c>
    </row>
    <row r="37" spans="3:9">
      <c r="C37" s="91">
        <f>C29/1000/4.002*8.3145*C27*LN(F28/C28)</f>
        <v>749.82407628816986</v>
      </c>
      <c r="D37" s="91" t="s">
        <v>381</v>
      </c>
    </row>
    <row r="38" spans="3:9">
      <c r="C38" s="91">
        <f>C37/G38</f>
        <v>1874.5601907204245</v>
      </c>
      <c r="D38" s="91" t="s">
        <v>381</v>
      </c>
      <c r="E38" s="91" t="s">
        <v>384</v>
      </c>
      <c r="G38" s="290">
        <v>0.4</v>
      </c>
    </row>
    <row r="51" spans="3:8" ht="13.5" thickBot="1"/>
    <row r="52" spans="3:8" ht="25.5">
      <c r="C52" s="661" t="s">
        <v>707</v>
      </c>
      <c r="D52" s="662" t="s">
        <v>708</v>
      </c>
      <c r="E52" s="663" t="s">
        <v>709</v>
      </c>
      <c r="F52" s="662" t="s">
        <v>710</v>
      </c>
      <c r="G52" s="663" t="s">
        <v>711</v>
      </c>
      <c r="H52" s="661" t="s">
        <v>712</v>
      </c>
    </row>
    <row r="53" spans="3:8" ht="25.5">
      <c r="C53" s="664" t="s">
        <v>713</v>
      </c>
      <c r="D53" s="665" t="s">
        <v>714</v>
      </c>
      <c r="E53" s="666" t="s">
        <v>715</v>
      </c>
      <c r="F53" s="665" t="s">
        <v>716</v>
      </c>
      <c r="G53" s="666" t="s">
        <v>717</v>
      </c>
      <c r="H53" s="664" t="s">
        <v>718</v>
      </c>
    </row>
    <row r="54" spans="3:8" ht="39" thickBot="1">
      <c r="C54" s="667"/>
      <c r="D54" s="668" t="s">
        <v>719</v>
      </c>
      <c r="E54" s="669" t="s">
        <v>720</v>
      </c>
      <c r="F54" s="668" t="s">
        <v>719</v>
      </c>
      <c r="G54" s="669" t="s">
        <v>721</v>
      </c>
      <c r="H54" s="667" t="s">
        <v>722</v>
      </c>
    </row>
    <row r="55" spans="3:8" ht="13.5" thickBot="1">
      <c r="C55" s="670"/>
      <c r="D55" s="671"/>
      <c r="E55" s="672"/>
      <c r="F55" s="671"/>
      <c r="G55" s="672"/>
      <c r="H55" s="671"/>
    </row>
    <row r="56" spans="3:8" ht="13.5" thickBot="1">
      <c r="C56" s="673" t="s">
        <v>723</v>
      </c>
      <c r="D56" s="674">
        <v>60</v>
      </c>
      <c r="E56" s="674">
        <v>15</v>
      </c>
      <c r="F56" s="674">
        <v>900</v>
      </c>
      <c r="G56" s="674">
        <v>4</v>
      </c>
      <c r="H56" s="674">
        <v>225</v>
      </c>
    </row>
    <row r="57" spans="3:8" ht="13.5" thickBot="1">
      <c r="C57" s="670"/>
      <c r="D57" s="671"/>
      <c r="E57" s="672"/>
      <c r="F57" s="671"/>
      <c r="G57" s="672"/>
      <c r="H57" s="671"/>
    </row>
    <row r="58" spans="3:8" ht="13.5" thickBot="1">
      <c r="C58" s="673" t="s">
        <v>724</v>
      </c>
      <c r="D58" s="674">
        <v>80</v>
      </c>
      <c r="E58" s="674">
        <v>15</v>
      </c>
      <c r="F58" s="674">
        <v>1200</v>
      </c>
      <c r="G58" s="674">
        <v>4</v>
      </c>
      <c r="H58" s="674">
        <v>300</v>
      </c>
    </row>
    <row r="59" spans="3:8" ht="13.5" thickBot="1">
      <c r="C59" s="670"/>
      <c r="D59" s="671"/>
      <c r="E59" s="672"/>
      <c r="F59" s="671"/>
      <c r="G59" s="672"/>
      <c r="H59" s="671"/>
    </row>
    <row r="60" spans="3:8" ht="13.5" thickBot="1">
      <c r="C60" s="673" t="s">
        <v>725</v>
      </c>
      <c r="D60" s="674">
        <v>100</v>
      </c>
      <c r="E60" s="674">
        <v>15</v>
      </c>
      <c r="F60" s="674">
        <v>1500</v>
      </c>
      <c r="G60" s="674">
        <v>4</v>
      </c>
      <c r="H60" s="674">
        <v>375</v>
      </c>
    </row>
    <row r="61" spans="3:8" ht="13.5" thickBot="1">
      <c r="C61" s="670"/>
      <c r="D61" s="671"/>
      <c r="E61" s="672"/>
      <c r="F61" s="671"/>
      <c r="G61" s="672"/>
      <c r="H61" s="671"/>
    </row>
    <row r="62" spans="3:8" ht="13.5" thickBot="1">
      <c r="C62" s="673" t="s">
        <v>726</v>
      </c>
      <c r="D62" s="674">
        <v>200</v>
      </c>
      <c r="E62" s="674">
        <v>15</v>
      </c>
      <c r="F62" s="674">
        <v>3000</v>
      </c>
      <c r="G62" s="674">
        <v>4</v>
      </c>
      <c r="H62" s="674">
        <v>750</v>
      </c>
    </row>
    <row r="63" spans="3:8" ht="13.5" thickBot="1">
      <c r="C63" s="670"/>
      <c r="D63" s="671"/>
      <c r="E63" s="672"/>
      <c r="F63" s="671"/>
      <c r="G63" s="672"/>
      <c r="H63" s="671"/>
    </row>
    <row r="64" spans="3:8" ht="13.5" thickBot="1">
      <c r="C64" s="673" t="s">
        <v>727</v>
      </c>
      <c r="D64" s="674">
        <v>250</v>
      </c>
      <c r="E64" s="674">
        <v>15</v>
      </c>
      <c r="F64" s="674">
        <v>3750</v>
      </c>
      <c r="G64" s="674">
        <v>4</v>
      </c>
      <c r="H64" s="674">
        <v>940</v>
      </c>
    </row>
    <row r="65" spans="3:8" ht="13.5" thickBot="1">
      <c r="C65" s="670"/>
      <c r="D65" s="671"/>
      <c r="E65" s="672"/>
      <c r="F65" s="671"/>
      <c r="G65" s="672"/>
      <c r="H65" s="671"/>
    </row>
    <row r="66" spans="3:8" ht="13.5" thickBot="1">
      <c r="C66" s="673" t="s">
        <v>728</v>
      </c>
      <c r="D66" s="674">
        <v>250</v>
      </c>
      <c r="E66" s="674">
        <v>15</v>
      </c>
      <c r="F66" s="674">
        <v>3750</v>
      </c>
      <c r="G66" s="674">
        <v>4</v>
      </c>
      <c r="H66" s="674">
        <v>940</v>
      </c>
    </row>
    <row r="67" spans="3:8" ht="13.5" thickBot="1">
      <c r="C67" s="670"/>
      <c r="D67" s="671"/>
      <c r="E67" s="672"/>
      <c r="F67" s="671"/>
      <c r="G67" s="672"/>
      <c r="H67" s="671"/>
    </row>
    <row r="68" spans="3:8" ht="13.5" thickBot="1">
      <c r="C68" s="673" t="s">
        <v>729</v>
      </c>
      <c r="D68" s="674">
        <v>400</v>
      </c>
      <c r="E68" s="674">
        <v>15</v>
      </c>
      <c r="F68" s="674">
        <v>6000</v>
      </c>
      <c r="G68" s="674">
        <v>4</v>
      </c>
      <c r="H68" s="674">
        <v>1500</v>
      </c>
    </row>
    <row r="69" spans="3:8" ht="13.5" thickBot="1">
      <c r="C69" s="670"/>
      <c r="D69" s="671"/>
      <c r="E69" s="672"/>
      <c r="F69" s="671"/>
      <c r="G69" s="672"/>
      <c r="H69" s="671"/>
    </row>
    <row r="70" spans="3:8" ht="13.5" thickBot="1">
      <c r="C70" s="673" t="s">
        <v>730</v>
      </c>
      <c r="D70" s="674">
        <v>450</v>
      </c>
      <c r="E70" s="674">
        <v>15</v>
      </c>
      <c r="F70" s="674">
        <v>6750</v>
      </c>
      <c r="G70" s="674">
        <v>4</v>
      </c>
      <c r="H70" s="674">
        <v>1700</v>
      </c>
    </row>
  </sheetData>
  <phoneticPr fontId="12" type="noConversion"/>
  <pageMargins left="0.75" right="0.75" top="1" bottom="1" header="0.4921259845" footer="0.4921259845"/>
  <pageSetup paperSize="9" scale="82" orientation="portrait" r:id="rId1"/>
  <headerFooter alignWithMargins="0"/>
  <drawing r:id="rId2"/>
  <legacyDrawing r:id="rId3"/>
  <oleObjects>
    <oleObject progId="Equation.3" shapeId="55301" r:id="rId4"/>
    <oleObject progId="Equation.3" shapeId="55302" r:id="rId5"/>
  </oleObjects>
</worksheet>
</file>

<file path=xl/worksheets/sheet35.xml><?xml version="1.0" encoding="utf-8"?>
<worksheet xmlns="http://schemas.openxmlformats.org/spreadsheetml/2006/main" xmlns:r="http://schemas.openxmlformats.org/officeDocument/2006/relationships">
  <sheetPr codeName="Feuil12"/>
  <dimension ref="B3:I56"/>
  <sheetViews>
    <sheetView workbookViewId="0">
      <selection activeCell="G33" sqref="G33"/>
    </sheetView>
  </sheetViews>
  <sheetFormatPr defaultColWidth="11.42578125" defaultRowHeight="12.75"/>
  <cols>
    <col min="1" max="2" width="11.42578125" customWidth="1"/>
    <col min="3" max="3" width="18.28515625" customWidth="1"/>
  </cols>
  <sheetData>
    <row r="3" spans="2:9">
      <c r="B3" s="89" t="s">
        <v>414</v>
      </c>
      <c r="C3" s="328"/>
      <c r="D3" s="328"/>
      <c r="E3" s="328"/>
      <c r="F3" s="328"/>
      <c r="G3" s="328"/>
      <c r="H3" s="328"/>
      <c r="I3" s="328"/>
    </row>
    <row r="5" spans="2:9">
      <c r="B5" t="s">
        <v>415</v>
      </c>
      <c r="D5">
        <v>41.3</v>
      </c>
      <c r="E5" t="s">
        <v>86</v>
      </c>
    </row>
    <row r="6" spans="2:9">
      <c r="B6" t="s">
        <v>282</v>
      </c>
      <c r="D6">
        <v>0.45</v>
      </c>
    </row>
    <row r="7" spans="2:9">
      <c r="B7" t="s">
        <v>416</v>
      </c>
      <c r="D7">
        <v>1.05</v>
      </c>
      <c r="E7" t="s">
        <v>417</v>
      </c>
    </row>
    <row r="8" spans="2:9">
      <c r="B8" t="s">
        <v>418</v>
      </c>
      <c r="D8">
        <v>11</v>
      </c>
      <c r="E8" t="s">
        <v>417</v>
      </c>
    </row>
    <row r="9" spans="2:9">
      <c r="B9" t="s">
        <v>419</v>
      </c>
      <c r="D9">
        <f>D8/D7</f>
        <v>10.476190476190476</v>
      </c>
    </row>
    <row r="10" spans="2:9">
      <c r="B10" t="s">
        <v>241</v>
      </c>
      <c r="D10">
        <v>300</v>
      </c>
      <c r="E10" t="s">
        <v>96</v>
      </c>
    </row>
    <row r="11" spans="2:9">
      <c r="B11" t="s">
        <v>420</v>
      </c>
      <c r="D11" s="324">
        <f>1/D6*D5*8.314/4*298*LN(D8/D7)/1000</f>
        <v>133.53843435705301</v>
      </c>
      <c r="E11" t="s">
        <v>381</v>
      </c>
    </row>
    <row r="14" spans="2:9">
      <c r="B14" s="89" t="s">
        <v>421</v>
      </c>
      <c r="C14" s="89"/>
      <c r="D14" s="89"/>
      <c r="E14" s="89"/>
      <c r="F14" s="89"/>
      <c r="G14" s="89"/>
      <c r="H14" s="89"/>
      <c r="I14" s="89"/>
    </row>
    <row r="16" spans="2:9">
      <c r="B16" t="s">
        <v>422</v>
      </c>
      <c r="D16">
        <v>1</v>
      </c>
      <c r="E16" t="s">
        <v>86</v>
      </c>
      <c r="F16" t="s">
        <v>423</v>
      </c>
      <c r="G16">
        <f>D16/(120/1000)*3.6</f>
        <v>30.000000000000004</v>
      </c>
      <c r="H16" t="s">
        <v>424</v>
      </c>
    </row>
    <row r="18" spans="2:6">
      <c r="B18" t="s">
        <v>425</v>
      </c>
      <c r="D18">
        <v>4.45</v>
      </c>
      <c r="E18" t="s">
        <v>96</v>
      </c>
    </row>
    <row r="19" spans="2:6">
      <c r="B19" t="s">
        <v>426</v>
      </c>
      <c r="D19">
        <v>300</v>
      </c>
      <c r="E19" t="s">
        <v>96</v>
      </c>
    </row>
    <row r="21" spans="2:6">
      <c r="B21" s="325" t="str">
        <f>CONCATENATE("Watt nécessaires à 300K pour produire 1 W à ",D18,"K")</f>
        <v>Watt nécessaires à 300K pour produire 1 W à 4,45K</v>
      </c>
    </row>
    <row r="22" spans="2:6">
      <c r="B22" t="s">
        <v>355</v>
      </c>
      <c r="D22" s="326">
        <f>(D19-D18)/D18</f>
        <v>66.415730337078656</v>
      </c>
      <c r="E22" t="s">
        <v>226</v>
      </c>
      <c r="F22" s="325"/>
    </row>
    <row r="23" spans="2:6">
      <c r="F23" s="325"/>
    </row>
    <row r="24" spans="2:6">
      <c r="B24" t="s">
        <v>427</v>
      </c>
      <c r="F24" s="325"/>
    </row>
    <row r="26" spans="2:6">
      <c r="B26" t="s">
        <v>428</v>
      </c>
      <c r="D26" s="326">
        <f>D22*100</f>
        <v>6641.5730337078658</v>
      </c>
      <c r="E26" t="s">
        <v>226</v>
      </c>
    </row>
    <row r="28" spans="2:6">
      <c r="B28" t="s">
        <v>429</v>
      </c>
      <c r="D28">
        <v>40</v>
      </c>
      <c r="E28" t="s">
        <v>226</v>
      </c>
    </row>
    <row r="30" spans="2:6">
      <c r="B30" t="s">
        <v>430</v>
      </c>
      <c r="D30" s="327">
        <v>0.2</v>
      </c>
    </row>
    <row r="32" spans="2:6">
      <c r="B32" t="s">
        <v>431</v>
      </c>
      <c r="D32" s="327">
        <v>0.5</v>
      </c>
    </row>
    <row r="34" spans="2:9">
      <c r="B34" t="s">
        <v>432</v>
      </c>
      <c r="D34" s="327">
        <f>D30*D32</f>
        <v>0.1</v>
      </c>
    </row>
    <row r="36" spans="2:9">
      <c r="D36" s="326">
        <f>(D16*D26+D28)/D34</f>
        <v>66815.730337078654</v>
      </c>
      <c r="E36" t="s">
        <v>381</v>
      </c>
    </row>
    <row r="38" spans="2:9">
      <c r="B38" s="89" t="s">
        <v>433</v>
      </c>
      <c r="C38" s="89"/>
      <c r="D38" s="89"/>
      <c r="E38" s="89"/>
      <c r="F38" s="89"/>
      <c r="G38" s="89"/>
      <c r="H38" s="89"/>
      <c r="I38" s="89"/>
    </row>
    <row r="40" spans="2:9">
      <c r="B40" t="s">
        <v>422</v>
      </c>
      <c r="D40">
        <v>100</v>
      </c>
      <c r="E40" t="s">
        <v>434</v>
      </c>
    </row>
    <row r="42" spans="2:9">
      <c r="B42" t="s">
        <v>425</v>
      </c>
      <c r="D42">
        <v>4.45</v>
      </c>
      <c r="E42" t="s">
        <v>96</v>
      </c>
    </row>
    <row r="43" spans="2:9">
      <c r="B43" t="s">
        <v>426</v>
      </c>
      <c r="D43">
        <v>300</v>
      </c>
      <c r="E43" t="s">
        <v>96</v>
      </c>
    </row>
    <row r="45" spans="2:9">
      <c r="B45" s="325" t="str">
        <f>CONCATENATE("Watt nécessaires à 300K pour produire 1 W à ",D42,"K")</f>
        <v>Watt nécessaires à 300K pour produire 1 W à 4,45K</v>
      </c>
    </row>
    <row r="46" spans="2:9">
      <c r="B46" t="s">
        <v>355</v>
      </c>
      <c r="D46" s="326">
        <f>(D43-D42)/D42</f>
        <v>66.415730337078656</v>
      </c>
      <c r="E46" t="s">
        <v>226</v>
      </c>
      <c r="F46" s="325"/>
    </row>
    <row r="47" spans="2:9">
      <c r="F47" s="325"/>
    </row>
    <row r="48" spans="2:9">
      <c r="B48" t="s">
        <v>429</v>
      </c>
      <c r="D48">
        <v>40</v>
      </c>
      <c r="E48" t="s">
        <v>226</v>
      </c>
    </row>
    <row r="50" spans="2:5">
      <c r="B50" t="s">
        <v>430</v>
      </c>
      <c r="D50" s="327">
        <v>0.5</v>
      </c>
    </row>
    <row r="52" spans="2:5">
      <c r="B52" t="s">
        <v>431</v>
      </c>
      <c r="D52" s="327">
        <v>0.5</v>
      </c>
    </row>
    <row r="54" spans="2:5">
      <c r="B54" t="s">
        <v>432</v>
      </c>
      <c r="D54" s="327">
        <f>D50*D52</f>
        <v>0.25</v>
      </c>
    </row>
    <row r="56" spans="2:5">
      <c r="D56" s="326">
        <f>(D40*D46+D48)/D54</f>
        <v>26726.292134831463</v>
      </c>
      <c r="E56" t="s">
        <v>381</v>
      </c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Feuil8"/>
  <dimension ref="B4:I170"/>
  <sheetViews>
    <sheetView zoomScaleNormal="100" workbookViewId="0">
      <selection activeCell="D13" sqref="D13"/>
    </sheetView>
  </sheetViews>
  <sheetFormatPr defaultColWidth="11.42578125" defaultRowHeight="12.75"/>
  <cols>
    <col min="1" max="2" width="11.42578125" style="91" customWidth="1"/>
    <col min="3" max="3" width="13.5703125" style="91" bestFit="1" customWidth="1"/>
    <col min="4" max="4" width="12.42578125" style="91" bestFit="1" customWidth="1"/>
    <col min="5" max="5" width="11.5703125" style="91" bestFit="1" customWidth="1"/>
    <col min="6" max="16384" width="11.42578125" style="91"/>
  </cols>
  <sheetData>
    <row r="4" spans="2:9">
      <c r="B4" s="95" t="s">
        <v>325</v>
      </c>
    </row>
    <row r="6" spans="2:9" ht="25.5" customHeight="1">
      <c r="B6" s="1270" t="s">
        <v>307</v>
      </c>
      <c r="C6" s="1270"/>
      <c r="D6" s="1270"/>
      <c r="E6" s="1270"/>
      <c r="F6" s="1270"/>
      <c r="G6" s="1270"/>
      <c r="H6" s="1270"/>
      <c r="I6" s="1270"/>
    </row>
    <row r="8" spans="2:9">
      <c r="B8" s="89" t="s">
        <v>304</v>
      </c>
      <c r="C8" s="90"/>
      <c r="D8" s="90"/>
      <c r="E8" s="90"/>
      <c r="F8" s="90"/>
      <c r="G8" s="90"/>
      <c r="H8" s="90"/>
      <c r="I8" s="90"/>
    </row>
    <row r="11" spans="2:9">
      <c r="C11" s="134" t="s">
        <v>241</v>
      </c>
      <c r="D11" s="167">
        <v>20</v>
      </c>
      <c r="E11" s="91" t="s">
        <v>303</v>
      </c>
    </row>
    <row r="12" spans="2:9">
      <c r="C12" s="134" t="s">
        <v>240</v>
      </c>
      <c r="D12" s="167">
        <v>1</v>
      </c>
      <c r="E12" s="91" t="s">
        <v>84</v>
      </c>
    </row>
    <row r="13" spans="2:9">
      <c r="C13" s="134" t="s">
        <v>305</v>
      </c>
      <c r="D13" s="199">
        <f>VLOOKUP(D11,C64:E168,2,FALSE)/D12</f>
        <v>23020</v>
      </c>
      <c r="E13" s="91" t="s">
        <v>302</v>
      </c>
    </row>
    <row r="14" spans="2:9">
      <c r="C14" s="134" t="s">
        <v>305</v>
      </c>
      <c r="D14" s="216">
        <f>VLOOKUP(D11,C64:E168,3,FALSE)/D12</f>
        <v>17.3</v>
      </c>
      <c r="E14" s="91" t="s">
        <v>311</v>
      </c>
    </row>
    <row r="16" spans="2:9">
      <c r="B16" s="89" t="s">
        <v>306</v>
      </c>
      <c r="C16" s="90"/>
      <c r="D16" s="90"/>
      <c r="E16" s="90"/>
      <c r="F16" s="90"/>
      <c r="G16" s="90"/>
      <c r="H16" s="90"/>
      <c r="I16" s="90"/>
    </row>
    <row r="19" spans="2:9">
      <c r="C19" s="134" t="s">
        <v>305</v>
      </c>
      <c r="D19" s="167">
        <v>40</v>
      </c>
      <c r="E19" s="91" t="s">
        <v>302</v>
      </c>
    </row>
    <row r="20" spans="2:9">
      <c r="C20" s="134" t="s">
        <v>240</v>
      </c>
      <c r="D20" s="167">
        <v>200</v>
      </c>
      <c r="E20" s="91" t="s">
        <v>84</v>
      </c>
    </row>
    <row r="21" spans="2:9">
      <c r="C21" s="134" t="s">
        <v>241</v>
      </c>
      <c r="D21" s="199">
        <f>VLOOKUP(D19*D20,D64:F168,3,TRUE)</f>
        <v>3</v>
      </c>
      <c r="E21" s="91" t="s">
        <v>303</v>
      </c>
      <c r="G21" s="219"/>
    </row>
    <row r="22" spans="2:9">
      <c r="E22" s="92"/>
      <c r="F22" s="92"/>
      <c r="G22" s="219"/>
    </row>
    <row r="24" spans="2:9">
      <c r="B24" s="89" t="s">
        <v>314</v>
      </c>
      <c r="C24" s="90"/>
      <c r="D24" s="90"/>
      <c r="E24" s="90"/>
      <c r="F24" s="90"/>
      <c r="G24" s="90"/>
      <c r="H24" s="90"/>
      <c r="I24" s="90"/>
    </row>
    <row r="26" spans="2:9">
      <c r="B26" s="95" t="s">
        <v>315</v>
      </c>
    </row>
    <row r="28" spans="2:9">
      <c r="C28" s="134" t="s">
        <v>305</v>
      </c>
      <c r="D28" s="167">
        <v>10</v>
      </c>
      <c r="E28" s="91" t="s">
        <v>320</v>
      </c>
    </row>
    <row r="29" spans="2:9">
      <c r="C29" s="134" t="s">
        <v>316</v>
      </c>
      <c r="D29" s="167">
        <v>4</v>
      </c>
      <c r="E29" s="91" t="s">
        <v>86</v>
      </c>
    </row>
    <row r="30" spans="2:9">
      <c r="C30" s="134" t="s">
        <v>317</v>
      </c>
      <c r="D30" s="218" t="e">
        <f ca="1">D29/1000/(Rho(11,1,273.15))</f>
        <v>#NAME?</v>
      </c>
      <c r="E30" s="91" t="s">
        <v>318</v>
      </c>
    </row>
    <row r="31" spans="2:9">
      <c r="C31" s="134" t="s">
        <v>329</v>
      </c>
      <c r="D31" s="217" t="e">
        <f ca="1">1000*D30*D28*10^-6</f>
        <v>#NAME?</v>
      </c>
      <c r="E31" s="91" t="s">
        <v>321</v>
      </c>
    </row>
    <row r="32" spans="2:9">
      <c r="C32" s="134" t="s">
        <v>328</v>
      </c>
      <c r="D32" s="217" t="e">
        <f ca="1">D31</f>
        <v>#NAME?</v>
      </c>
      <c r="E32" s="91" t="s">
        <v>323</v>
      </c>
    </row>
    <row r="33" spans="2:9">
      <c r="C33" s="213"/>
    </row>
    <row r="34" spans="2:9" ht="25.5">
      <c r="C34" s="134" t="s">
        <v>327</v>
      </c>
      <c r="D34" s="214">
        <v>6</v>
      </c>
      <c r="E34" s="91" t="s">
        <v>319</v>
      </c>
    </row>
    <row r="35" spans="2:9" s="88" customFormat="1" ht="38.25">
      <c r="C35" s="134" t="s">
        <v>324</v>
      </c>
      <c r="D35" s="135" t="e">
        <f ca="1">D34*3600*D32</f>
        <v>#NAME?</v>
      </c>
      <c r="E35" s="215" t="s">
        <v>322</v>
      </c>
      <c r="F35" s="91"/>
      <c r="G35" s="91"/>
      <c r="H35" s="91"/>
      <c r="I35" s="91"/>
    </row>
    <row r="36" spans="2:9" s="88" customFormat="1">
      <c r="C36" s="91"/>
      <c r="D36" s="135"/>
      <c r="E36" s="215"/>
      <c r="F36" s="91"/>
      <c r="G36" s="91"/>
      <c r="H36" s="91"/>
      <c r="I36" s="91"/>
    </row>
    <row r="37" spans="2:9" s="88" customFormat="1">
      <c r="B37" s="220" t="s">
        <v>330</v>
      </c>
      <c r="C37" s="91"/>
      <c r="D37" s="135"/>
      <c r="E37" s="215"/>
      <c r="F37" s="91"/>
      <c r="G37" s="91"/>
      <c r="H37" s="91"/>
      <c r="I37" s="91"/>
    </row>
    <row r="38" spans="2:9" s="88" customFormat="1">
      <c r="C38" s="91"/>
      <c r="D38" s="135"/>
      <c r="E38" s="215"/>
      <c r="F38" s="91"/>
      <c r="G38" s="91"/>
      <c r="H38" s="91"/>
      <c r="I38" s="91"/>
    </row>
    <row r="39" spans="2:9" s="88" customFormat="1">
      <c r="C39" s="91"/>
      <c r="D39" s="135"/>
      <c r="E39" s="215"/>
      <c r="F39" s="91"/>
      <c r="G39" s="91"/>
      <c r="H39" s="91"/>
      <c r="I39" s="91"/>
    </row>
    <row r="40" spans="2:9" s="88" customFormat="1">
      <c r="C40" s="134" t="s">
        <v>241</v>
      </c>
      <c r="D40" s="167">
        <v>3</v>
      </c>
      <c r="E40" s="91" t="s">
        <v>303</v>
      </c>
      <c r="F40" s="91"/>
      <c r="G40" s="91"/>
      <c r="H40" s="91"/>
      <c r="I40" s="91"/>
    </row>
    <row r="41" spans="2:9" s="88" customFormat="1">
      <c r="C41" s="134" t="s">
        <v>240</v>
      </c>
      <c r="D41" s="167">
        <v>25</v>
      </c>
      <c r="E41" s="91" t="s">
        <v>84</v>
      </c>
      <c r="F41" s="91"/>
      <c r="G41" s="91"/>
      <c r="H41" s="91"/>
      <c r="I41" s="91"/>
    </row>
    <row r="42" spans="2:9" s="88" customFormat="1">
      <c r="C42" s="134" t="s">
        <v>305</v>
      </c>
      <c r="D42" s="199">
        <f>VLOOKUP(D40,Table1,2,FALSE)/D41</f>
        <v>299.48</v>
      </c>
      <c r="E42" s="91" t="s">
        <v>302</v>
      </c>
      <c r="F42" s="91"/>
      <c r="G42" s="91"/>
      <c r="H42" s="91"/>
      <c r="I42" s="91"/>
    </row>
    <row r="43" spans="2:9" s="88" customFormat="1">
      <c r="C43" s="134" t="s">
        <v>305</v>
      </c>
      <c r="D43" s="216">
        <f>VLOOKUP(D40,Table1,3,FALSE)/D41</f>
        <v>0.24</v>
      </c>
      <c r="E43" s="91" t="s">
        <v>311</v>
      </c>
      <c r="F43" s="91"/>
      <c r="G43" s="91"/>
      <c r="H43" s="91"/>
      <c r="I43" s="91"/>
    </row>
    <row r="44" spans="2:9" s="88" customFormat="1">
      <c r="C44" s="91"/>
      <c r="D44" s="135"/>
      <c r="E44" s="215"/>
      <c r="F44" s="91"/>
      <c r="G44" s="91"/>
      <c r="H44" s="91"/>
      <c r="I44" s="91"/>
    </row>
    <row r="45" spans="2:9" s="88" customFormat="1">
      <c r="C45" s="134" t="s">
        <v>331</v>
      </c>
      <c r="D45" s="222">
        <v>0.02</v>
      </c>
      <c r="E45" s="215"/>
      <c r="F45" s="91"/>
      <c r="G45" s="91"/>
      <c r="H45" s="91"/>
      <c r="I45" s="91"/>
    </row>
    <row r="46" spans="2:9" s="88" customFormat="1">
      <c r="C46" s="134" t="s">
        <v>332</v>
      </c>
      <c r="D46" s="135">
        <f>D45*D42</f>
        <v>5.9896000000000003</v>
      </c>
      <c r="E46" s="215" t="s">
        <v>302</v>
      </c>
      <c r="F46" s="91"/>
      <c r="G46" s="91"/>
      <c r="H46" s="91"/>
      <c r="I46" s="91"/>
    </row>
    <row r="47" spans="2:9" s="88" customFormat="1">
      <c r="C47" s="91"/>
      <c r="D47" s="135"/>
      <c r="E47" s="215"/>
      <c r="F47" s="91"/>
      <c r="G47" s="91"/>
      <c r="H47" s="91"/>
      <c r="I47" s="91"/>
    </row>
    <row r="48" spans="2:9" s="88" customFormat="1">
      <c r="C48" s="134" t="s">
        <v>316</v>
      </c>
      <c r="D48" s="167">
        <v>4</v>
      </c>
      <c r="E48" s="91" t="s">
        <v>86</v>
      </c>
      <c r="F48" s="91"/>
      <c r="G48" s="91"/>
      <c r="H48" s="91"/>
      <c r="I48" s="91"/>
    </row>
    <row r="49" spans="2:9" s="88" customFormat="1">
      <c r="C49" s="134" t="s">
        <v>317</v>
      </c>
      <c r="D49" s="218" t="e">
        <f ca="1">D48/1000/(Rho(11,1,273.15))</f>
        <v>#NAME?</v>
      </c>
      <c r="E49" s="91" t="s">
        <v>318</v>
      </c>
      <c r="F49" s="91"/>
      <c r="G49" s="91"/>
      <c r="H49" s="91"/>
      <c r="I49" s="91"/>
    </row>
    <row r="50" spans="2:9" s="88" customFormat="1">
      <c r="C50" s="134" t="s">
        <v>328</v>
      </c>
      <c r="D50" s="221" t="e">
        <f ca="1">1000*D46*D49*10^-6</f>
        <v>#NAME?</v>
      </c>
      <c r="E50" s="91" t="s">
        <v>323</v>
      </c>
      <c r="F50" s="91"/>
      <c r="G50" s="91"/>
      <c r="H50" s="91"/>
      <c r="I50" s="91"/>
    </row>
    <row r="51" spans="2:9" s="88" customFormat="1">
      <c r="C51" s="91"/>
      <c r="D51" s="221"/>
      <c r="E51" s="215"/>
      <c r="F51" s="91"/>
      <c r="G51" s="91"/>
      <c r="H51" s="91"/>
      <c r="I51" s="91"/>
    </row>
    <row r="52" spans="2:9" s="88" customFormat="1" ht="25.5">
      <c r="C52" s="134" t="s">
        <v>327</v>
      </c>
      <c r="D52" s="214">
        <v>6</v>
      </c>
      <c r="E52" s="91" t="s">
        <v>319</v>
      </c>
      <c r="F52" s="91"/>
      <c r="G52" s="91"/>
      <c r="H52" s="91"/>
      <c r="I52" s="91"/>
    </row>
    <row r="53" spans="2:9" s="88" customFormat="1" ht="38.25">
      <c r="C53" s="134" t="s">
        <v>324</v>
      </c>
      <c r="D53" s="135" t="e">
        <f ca="1">D52*3600*D50</f>
        <v>#NAME?</v>
      </c>
      <c r="E53" s="215" t="s">
        <v>322</v>
      </c>
      <c r="F53" s="91"/>
      <c r="G53" s="91"/>
      <c r="H53" s="91"/>
      <c r="I53" s="91"/>
    </row>
    <row r="54" spans="2:9" s="88" customFormat="1">
      <c r="C54" s="91"/>
      <c r="D54" s="221"/>
      <c r="E54" s="215"/>
      <c r="F54" s="91"/>
      <c r="G54" s="91"/>
      <c r="H54" s="91"/>
      <c r="I54" s="91"/>
    </row>
    <row r="55" spans="2:9" s="88" customFormat="1">
      <c r="C55" s="91"/>
      <c r="D55" s="221"/>
      <c r="E55" s="215"/>
      <c r="F55" s="91"/>
      <c r="G55" s="91"/>
      <c r="H55" s="91"/>
      <c r="I55" s="91"/>
    </row>
    <row r="56" spans="2:9" s="88" customFormat="1">
      <c r="C56" s="91"/>
      <c r="D56" s="221"/>
      <c r="E56" s="215"/>
      <c r="F56" s="91"/>
      <c r="G56" s="91"/>
      <c r="H56" s="91"/>
      <c r="I56" s="91"/>
    </row>
    <row r="57" spans="2:9" s="88" customFormat="1">
      <c r="C57" s="91"/>
      <c r="D57" s="221"/>
      <c r="E57" s="215"/>
      <c r="F57" s="91"/>
      <c r="G57" s="91"/>
      <c r="H57" s="91"/>
      <c r="I57" s="91"/>
    </row>
    <row r="58" spans="2:9" s="88" customFormat="1">
      <c r="C58" s="91"/>
      <c r="D58" s="135"/>
      <c r="E58" s="215"/>
      <c r="F58" s="91"/>
      <c r="G58" s="91"/>
      <c r="H58" s="91"/>
      <c r="I58" s="91"/>
    </row>
    <row r="60" spans="2:9">
      <c r="B60" s="89" t="s">
        <v>326</v>
      </c>
      <c r="C60" s="90"/>
      <c r="D60" s="90"/>
      <c r="E60" s="90"/>
      <c r="F60" s="90"/>
      <c r="G60" s="90"/>
      <c r="H60" s="90"/>
      <c r="I60" s="90"/>
    </row>
    <row r="62" spans="2:9">
      <c r="C62" s="205" t="s">
        <v>308</v>
      </c>
      <c r="D62" s="206" t="s">
        <v>309</v>
      </c>
      <c r="E62" s="206"/>
      <c r="F62" s="205" t="s">
        <v>308</v>
      </c>
    </row>
    <row r="63" spans="2:9">
      <c r="C63" s="204" t="s">
        <v>303</v>
      </c>
      <c r="D63" s="204" t="s">
        <v>310</v>
      </c>
      <c r="E63" s="204" t="s">
        <v>312</v>
      </c>
      <c r="F63" s="204" t="s">
        <v>303</v>
      </c>
    </row>
    <row r="64" spans="2:9">
      <c r="C64" s="201">
        <v>-100</v>
      </c>
      <c r="D64" s="208">
        <v>1.4E-2</v>
      </c>
      <c r="E64" s="211">
        <v>1.03E-5</v>
      </c>
      <c r="F64" s="201">
        <v>-100</v>
      </c>
    </row>
    <row r="65" spans="3:6">
      <c r="C65" s="202">
        <v>-90</v>
      </c>
      <c r="D65" s="207">
        <v>8.0000000000000002E-3</v>
      </c>
      <c r="E65" s="212">
        <v>1.1900000000000001E-4</v>
      </c>
      <c r="F65" s="202">
        <v>-90</v>
      </c>
    </row>
    <row r="66" spans="3:6">
      <c r="C66" s="201">
        <v>-80</v>
      </c>
      <c r="D66" s="208">
        <v>0.54</v>
      </c>
      <c r="E66" s="211">
        <v>5.6499999999999996E-4</v>
      </c>
      <c r="F66" s="201">
        <v>-80</v>
      </c>
    </row>
    <row r="67" spans="3:6">
      <c r="C67" s="202">
        <v>-70</v>
      </c>
      <c r="D67" s="207">
        <v>2.57</v>
      </c>
      <c r="E67" s="212">
        <v>2.6900000000000001E-3</v>
      </c>
      <c r="F67" s="202">
        <v>-70</v>
      </c>
    </row>
    <row r="68" spans="3:6">
      <c r="C68" s="201">
        <v>-60</v>
      </c>
      <c r="D68" s="208">
        <v>10.7</v>
      </c>
      <c r="E68" s="209">
        <v>1.0999999999999999E-2</v>
      </c>
      <c r="F68" s="201">
        <v>-60</v>
      </c>
    </row>
    <row r="69" spans="3:6">
      <c r="C69" s="202">
        <v>-55</v>
      </c>
      <c r="D69" s="207">
        <v>20.8</v>
      </c>
      <c r="E69" s="210">
        <v>2.1000000000000001E-2</v>
      </c>
      <c r="F69" s="202">
        <v>-55</v>
      </c>
    </row>
    <row r="70" spans="3:6">
      <c r="C70" s="201">
        <v>-50</v>
      </c>
      <c r="D70" s="208">
        <v>38.4</v>
      </c>
      <c r="E70" s="209">
        <v>3.7999999999999999E-2</v>
      </c>
      <c r="F70" s="201">
        <v>-50</v>
      </c>
    </row>
    <row r="71" spans="3:6">
      <c r="C71" s="202">
        <v>-48</v>
      </c>
      <c r="D71" s="207">
        <v>49.6</v>
      </c>
      <c r="E71" s="210">
        <v>4.9000000000000002E-2</v>
      </c>
      <c r="F71" s="202">
        <v>-48</v>
      </c>
    </row>
    <row r="72" spans="3:6">
      <c r="C72" s="201">
        <v>-46</v>
      </c>
      <c r="D72" s="208">
        <v>63</v>
      </c>
      <c r="E72" s="209">
        <v>6.0999999999999999E-2</v>
      </c>
      <c r="F72" s="201">
        <v>-46</v>
      </c>
    </row>
    <row r="73" spans="3:6">
      <c r="C73" s="202">
        <v>-45</v>
      </c>
      <c r="D73" s="207">
        <v>68.5</v>
      </c>
      <c r="E73" s="210">
        <v>6.7000000000000004E-2</v>
      </c>
      <c r="F73" s="202">
        <v>-45</v>
      </c>
    </row>
    <row r="74" spans="3:6">
      <c r="C74" s="201">
        <v>-44</v>
      </c>
      <c r="D74" s="208">
        <v>80.099999999999994</v>
      </c>
      <c r="E74" s="209">
        <v>7.5999999999999998E-2</v>
      </c>
      <c r="F74" s="201">
        <v>-44</v>
      </c>
    </row>
    <row r="75" spans="3:6">
      <c r="C75" s="202">
        <v>-42</v>
      </c>
      <c r="D75" s="207">
        <v>101.5</v>
      </c>
      <c r="E75" s="210">
        <v>9.7000000000000003E-2</v>
      </c>
      <c r="F75" s="202">
        <v>-42</v>
      </c>
    </row>
    <row r="76" spans="3:6">
      <c r="C76" s="201">
        <v>-40</v>
      </c>
      <c r="D76" s="208">
        <v>126.9</v>
      </c>
      <c r="E76" s="208">
        <v>0.11</v>
      </c>
      <c r="F76" s="201">
        <v>-40</v>
      </c>
    </row>
    <row r="77" spans="3:6">
      <c r="C77" s="202">
        <v>-39</v>
      </c>
      <c r="D77" s="207">
        <v>137</v>
      </c>
      <c r="E77" s="207">
        <v>0.12</v>
      </c>
      <c r="F77" s="202">
        <v>-39</v>
      </c>
    </row>
    <row r="78" spans="3:6">
      <c r="C78" s="201">
        <v>-38</v>
      </c>
      <c r="D78" s="208">
        <v>158</v>
      </c>
      <c r="E78" s="208">
        <v>0.14000000000000001</v>
      </c>
      <c r="F78" s="201">
        <v>-38</v>
      </c>
    </row>
    <row r="79" spans="3:6">
      <c r="C79" s="202">
        <v>-37</v>
      </c>
      <c r="D79" s="207">
        <v>174.1</v>
      </c>
      <c r="E79" s="207">
        <v>0.16</v>
      </c>
      <c r="F79" s="202">
        <v>-37</v>
      </c>
    </row>
    <row r="80" spans="3:6">
      <c r="C80" s="201">
        <v>-36</v>
      </c>
      <c r="D80" s="208">
        <v>197.8</v>
      </c>
      <c r="E80" s="208">
        <v>0.17</v>
      </c>
      <c r="F80" s="201">
        <v>-36</v>
      </c>
    </row>
    <row r="81" spans="3:6">
      <c r="C81" s="202">
        <v>-35</v>
      </c>
      <c r="D81" s="203">
        <v>224</v>
      </c>
      <c r="E81" s="207">
        <v>0.19</v>
      </c>
      <c r="F81" s="202">
        <v>-35</v>
      </c>
    </row>
    <row r="82" spans="3:6">
      <c r="C82" s="201">
        <v>-34</v>
      </c>
      <c r="D82" s="200">
        <v>245</v>
      </c>
      <c r="E82" s="208">
        <v>0.22</v>
      </c>
      <c r="F82" s="201">
        <v>-34</v>
      </c>
    </row>
    <row r="83" spans="3:6">
      <c r="C83" s="202">
        <v>-33</v>
      </c>
      <c r="D83" s="203">
        <v>274</v>
      </c>
      <c r="E83" s="207">
        <v>0.24</v>
      </c>
      <c r="F83" s="202">
        <v>-33</v>
      </c>
    </row>
    <row r="84" spans="3:6">
      <c r="C84" s="201">
        <v>-32</v>
      </c>
      <c r="D84" s="200">
        <v>303.39999999999998</v>
      </c>
      <c r="E84" s="208">
        <v>0.26</v>
      </c>
      <c r="F84" s="201">
        <v>-32</v>
      </c>
    </row>
    <row r="85" spans="3:6">
      <c r="C85" s="202">
        <v>-31</v>
      </c>
      <c r="D85" s="203">
        <v>336</v>
      </c>
      <c r="E85" s="207">
        <v>0.3</v>
      </c>
      <c r="F85" s="202">
        <v>-31</v>
      </c>
    </row>
    <row r="86" spans="3:6">
      <c r="C86" s="201">
        <v>-30</v>
      </c>
      <c r="D86" s="200">
        <v>374</v>
      </c>
      <c r="E86" s="208">
        <v>0.33</v>
      </c>
      <c r="F86" s="201">
        <v>-30</v>
      </c>
    </row>
    <row r="87" spans="3:6">
      <c r="C87" s="202">
        <v>-29</v>
      </c>
      <c r="D87" s="203">
        <v>411</v>
      </c>
      <c r="E87" s="207">
        <v>0.37</v>
      </c>
      <c r="F87" s="202">
        <v>-29</v>
      </c>
    </row>
    <row r="88" spans="3:6">
      <c r="C88" s="201">
        <v>-28</v>
      </c>
      <c r="D88" s="200">
        <v>461</v>
      </c>
      <c r="E88" s="208">
        <v>0.4</v>
      </c>
      <c r="F88" s="201">
        <v>-28</v>
      </c>
    </row>
    <row r="89" spans="3:6">
      <c r="C89" s="202">
        <v>-27</v>
      </c>
      <c r="D89" s="203">
        <v>511</v>
      </c>
      <c r="E89" s="207">
        <v>0.45</v>
      </c>
      <c r="F89" s="202">
        <v>-27</v>
      </c>
    </row>
    <row r="90" spans="3:6">
      <c r="C90" s="201">
        <v>-26</v>
      </c>
      <c r="D90" s="200">
        <v>563</v>
      </c>
      <c r="E90" s="208">
        <v>0.49</v>
      </c>
      <c r="F90" s="201">
        <v>-26</v>
      </c>
    </row>
    <row r="91" spans="3:6">
      <c r="C91" s="202">
        <v>-25</v>
      </c>
      <c r="D91" s="203">
        <v>623</v>
      </c>
      <c r="E91" s="207">
        <v>0.55000000000000004</v>
      </c>
      <c r="F91" s="202">
        <v>-25</v>
      </c>
    </row>
    <row r="92" spans="3:6">
      <c r="C92" s="201">
        <v>-24</v>
      </c>
      <c r="D92" s="200">
        <v>689</v>
      </c>
      <c r="E92" s="208">
        <v>0.59</v>
      </c>
      <c r="F92" s="201">
        <v>-24</v>
      </c>
    </row>
    <row r="93" spans="3:6">
      <c r="C93" s="202">
        <v>-23</v>
      </c>
      <c r="D93" s="203">
        <v>759</v>
      </c>
      <c r="E93" s="207">
        <v>0.66</v>
      </c>
      <c r="F93" s="202">
        <v>-23</v>
      </c>
    </row>
    <row r="94" spans="3:6">
      <c r="C94" s="201">
        <v>-22</v>
      </c>
      <c r="D94" s="200">
        <v>840</v>
      </c>
      <c r="E94" s="208">
        <v>0.72</v>
      </c>
      <c r="F94" s="201">
        <v>-22</v>
      </c>
    </row>
    <row r="95" spans="3:6">
      <c r="C95" s="202">
        <v>-21</v>
      </c>
      <c r="D95" s="203">
        <v>922</v>
      </c>
      <c r="E95" s="207">
        <v>0.8</v>
      </c>
      <c r="F95" s="202">
        <v>-21</v>
      </c>
    </row>
    <row r="96" spans="3:6">
      <c r="C96" s="201">
        <v>-20</v>
      </c>
      <c r="D96" s="200">
        <v>1015</v>
      </c>
      <c r="E96" s="208">
        <v>0.88</v>
      </c>
      <c r="F96" s="201">
        <v>-20</v>
      </c>
    </row>
    <row r="97" spans="3:6">
      <c r="C97" s="202">
        <v>-19</v>
      </c>
      <c r="D97" s="203">
        <v>1118</v>
      </c>
      <c r="E97" s="207">
        <v>0.96</v>
      </c>
      <c r="F97" s="202">
        <v>-19</v>
      </c>
    </row>
    <row r="98" spans="3:6">
      <c r="C98" s="201">
        <v>-18</v>
      </c>
      <c r="D98" s="200">
        <v>1231</v>
      </c>
      <c r="E98" s="208">
        <v>1.05</v>
      </c>
      <c r="F98" s="201">
        <v>-18</v>
      </c>
    </row>
    <row r="99" spans="3:6">
      <c r="C99" s="202">
        <v>-17</v>
      </c>
      <c r="D99" s="203">
        <v>1358</v>
      </c>
      <c r="E99" s="207">
        <v>1.1499999999999999</v>
      </c>
      <c r="F99" s="202">
        <v>-17</v>
      </c>
    </row>
    <row r="100" spans="3:6">
      <c r="C100" s="201">
        <v>-16</v>
      </c>
      <c r="D100" s="200">
        <v>1480</v>
      </c>
      <c r="E100" s="208">
        <v>1.26</v>
      </c>
      <c r="F100" s="201">
        <v>-16</v>
      </c>
    </row>
    <row r="101" spans="3:6">
      <c r="C101" s="202">
        <v>-15</v>
      </c>
      <c r="D101" s="203">
        <v>1630</v>
      </c>
      <c r="E101" s="207">
        <v>1.38</v>
      </c>
      <c r="F101" s="202">
        <v>-15</v>
      </c>
    </row>
    <row r="102" spans="3:6">
      <c r="C102" s="201">
        <v>-14</v>
      </c>
      <c r="D102" s="200">
        <v>1779</v>
      </c>
      <c r="E102" s="208">
        <v>1.51</v>
      </c>
      <c r="F102" s="201">
        <v>-14</v>
      </c>
    </row>
    <row r="103" spans="3:6">
      <c r="C103" s="202">
        <v>-13</v>
      </c>
      <c r="D103" s="203">
        <v>1953</v>
      </c>
      <c r="E103" s="207">
        <v>1.65</v>
      </c>
      <c r="F103" s="202">
        <v>-13</v>
      </c>
    </row>
    <row r="104" spans="3:6">
      <c r="C104" s="201">
        <v>-12</v>
      </c>
      <c r="D104" s="200">
        <v>2140</v>
      </c>
      <c r="E104" s="208">
        <v>1.79</v>
      </c>
      <c r="F104" s="201">
        <v>-12</v>
      </c>
    </row>
    <row r="105" spans="3:6">
      <c r="C105" s="202">
        <v>-11</v>
      </c>
      <c r="D105" s="203">
        <v>2338</v>
      </c>
      <c r="E105" s="207">
        <v>1.96</v>
      </c>
      <c r="F105" s="202">
        <v>-11</v>
      </c>
    </row>
    <row r="106" spans="3:6">
      <c r="C106" s="201">
        <v>-10</v>
      </c>
      <c r="D106" s="200">
        <v>2562</v>
      </c>
      <c r="E106" s="208">
        <v>2.14</v>
      </c>
      <c r="F106" s="201">
        <v>-10</v>
      </c>
    </row>
    <row r="107" spans="3:6">
      <c r="C107" s="202">
        <v>-9</v>
      </c>
      <c r="D107" s="203">
        <v>2798</v>
      </c>
      <c r="E107" s="207">
        <v>2.33</v>
      </c>
      <c r="F107" s="202">
        <v>-9</v>
      </c>
    </row>
    <row r="108" spans="3:6">
      <c r="C108" s="201">
        <v>-8</v>
      </c>
      <c r="D108" s="200">
        <v>3047</v>
      </c>
      <c r="E108" s="208">
        <v>2.54</v>
      </c>
      <c r="F108" s="201">
        <v>-8</v>
      </c>
    </row>
    <row r="109" spans="3:6">
      <c r="C109" s="202">
        <v>-7</v>
      </c>
      <c r="D109" s="203">
        <v>3333</v>
      </c>
      <c r="E109" s="207">
        <v>2.76</v>
      </c>
      <c r="F109" s="202">
        <v>-7</v>
      </c>
    </row>
    <row r="110" spans="3:6">
      <c r="C110" s="201">
        <v>-6</v>
      </c>
      <c r="D110" s="200">
        <v>3632</v>
      </c>
      <c r="E110" s="208">
        <v>2.99</v>
      </c>
      <c r="F110" s="201">
        <v>-6</v>
      </c>
    </row>
    <row r="111" spans="3:6">
      <c r="C111" s="202">
        <v>-5</v>
      </c>
      <c r="D111" s="203">
        <v>3955</v>
      </c>
      <c r="E111" s="207">
        <v>3.2</v>
      </c>
      <c r="F111" s="202">
        <v>-5</v>
      </c>
    </row>
    <row r="112" spans="3:6">
      <c r="C112" s="201">
        <v>-4</v>
      </c>
      <c r="D112" s="200">
        <v>4303</v>
      </c>
      <c r="E112" s="208">
        <v>3.51</v>
      </c>
      <c r="F112" s="201">
        <v>-4</v>
      </c>
    </row>
    <row r="113" spans="3:6">
      <c r="C113" s="202">
        <v>-3</v>
      </c>
      <c r="D113" s="203">
        <v>4690</v>
      </c>
      <c r="E113" s="207">
        <v>3.81</v>
      </c>
      <c r="F113" s="202">
        <v>-3</v>
      </c>
    </row>
    <row r="114" spans="3:6">
      <c r="C114" s="201">
        <v>-2</v>
      </c>
      <c r="D114" s="200">
        <v>5100</v>
      </c>
      <c r="E114" s="208">
        <v>4.13</v>
      </c>
      <c r="F114" s="201">
        <v>-2</v>
      </c>
    </row>
    <row r="115" spans="3:6">
      <c r="C115" s="202">
        <v>-1</v>
      </c>
      <c r="D115" s="203">
        <v>5547</v>
      </c>
      <c r="E115" s="207">
        <v>4.47</v>
      </c>
      <c r="F115" s="202">
        <v>-1</v>
      </c>
    </row>
    <row r="116" spans="3:6">
      <c r="C116" s="201">
        <v>0</v>
      </c>
      <c r="D116" s="200">
        <v>6020</v>
      </c>
      <c r="E116" s="208">
        <v>4.84</v>
      </c>
      <c r="F116" s="201">
        <v>0</v>
      </c>
    </row>
    <row r="117" spans="3:6">
      <c r="C117" s="202">
        <v>1</v>
      </c>
      <c r="D117" s="203">
        <v>6480</v>
      </c>
      <c r="E117" s="207">
        <v>5.2</v>
      </c>
      <c r="F117" s="202">
        <v>1</v>
      </c>
    </row>
    <row r="118" spans="3:6">
      <c r="C118" s="201">
        <v>2</v>
      </c>
      <c r="D118" s="200">
        <v>6850</v>
      </c>
      <c r="E118" s="208">
        <v>5.6</v>
      </c>
      <c r="F118" s="201">
        <v>2</v>
      </c>
    </row>
    <row r="119" spans="3:6">
      <c r="C119" s="202">
        <v>3</v>
      </c>
      <c r="D119" s="203">
        <v>7487</v>
      </c>
      <c r="E119" s="207">
        <v>6</v>
      </c>
      <c r="F119" s="202">
        <v>3</v>
      </c>
    </row>
    <row r="120" spans="3:6">
      <c r="C120" s="201">
        <v>4</v>
      </c>
      <c r="D120" s="200">
        <v>8022</v>
      </c>
      <c r="E120" s="208">
        <v>6.4</v>
      </c>
      <c r="F120" s="201">
        <v>4</v>
      </c>
    </row>
    <row r="121" spans="3:6">
      <c r="C121" s="202">
        <v>5</v>
      </c>
      <c r="D121" s="203">
        <v>8595</v>
      </c>
      <c r="E121" s="207">
        <v>6.8</v>
      </c>
      <c r="F121" s="202">
        <v>5</v>
      </c>
    </row>
    <row r="122" spans="3:6">
      <c r="C122" s="201">
        <v>6</v>
      </c>
      <c r="D122" s="200">
        <v>9216</v>
      </c>
      <c r="E122" s="208">
        <v>7.3</v>
      </c>
      <c r="F122" s="201">
        <v>6</v>
      </c>
    </row>
    <row r="123" spans="3:6">
      <c r="C123" s="202">
        <v>7</v>
      </c>
      <c r="D123" s="203">
        <v>9875</v>
      </c>
      <c r="E123" s="207">
        <v>7.8</v>
      </c>
      <c r="F123" s="202">
        <v>7</v>
      </c>
    </row>
    <row r="124" spans="3:6">
      <c r="C124" s="201">
        <v>8</v>
      </c>
      <c r="D124" s="200">
        <v>10584</v>
      </c>
      <c r="E124" s="208">
        <v>8.3000000000000007</v>
      </c>
      <c r="F124" s="201">
        <v>8</v>
      </c>
    </row>
    <row r="125" spans="3:6">
      <c r="C125" s="202">
        <v>9</v>
      </c>
      <c r="D125" s="203">
        <v>11318</v>
      </c>
      <c r="E125" s="207">
        <v>8.8000000000000007</v>
      </c>
      <c r="F125" s="202">
        <v>9</v>
      </c>
    </row>
    <row r="126" spans="3:6">
      <c r="C126" s="201">
        <v>10</v>
      </c>
      <c r="D126" s="200">
        <v>12114</v>
      </c>
      <c r="E126" s="208">
        <v>9.4</v>
      </c>
      <c r="F126" s="201">
        <v>10</v>
      </c>
    </row>
    <row r="127" spans="3:6">
      <c r="C127" s="202">
        <v>11</v>
      </c>
      <c r="D127" s="203">
        <v>12935</v>
      </c>
      <c r="E127" s="207">
        <v>10</v>
      </c>
      <c r="F127" s="202">
        <v>11</v>
      </c>
    </row>
    <row r="128" spans="3:6">
      <c r="C128" s="201">
        <v>12</v>
      </c>
      <c r="D128" s="200">
        <v>13806</v>
      </c>
      <c r="E128" s="208">
        <v>10.7</v>
      </c>
      <c r="F128" s="201">
        <v>12</v>
      </c>
    </row>
    <row r="129" spans="3:6">
      <c r="C129" s="202">
        <v>13</v>
      </c>
      <c r="D129" s="203">
        <v>14800</v>
      </c>
      <c r="E129" s="207">
        <v>11.4</v>
      </c>
      <c r="F129" s="202">
        <v>13</v>
      </c>
    </row>
    <row r="130" spans="3:6">
      <c r="C130" s="201">
        <v>14</v>
      </c>
      <c r="D130" s="200">
        <v>15796</v>
      </c>
      <c r="E130" s="208">
        <v>12.1</v>
      </c>
      <c r="F130" s="201">
        <v>14</v>
      </c>
    </row>
    <row r="131" spans="3:6">
      <c r="C131" s="202">
        <v>15</v>
      </c>
      <c r="D131" s="203">
        <v>16791</v>
      </c>
      <c r="E131" s="207">
        <v>12.8</v>
      </c>
      <c r="F131" s="202">
        <v>15</v>
      </c>
    </row>
    <row r="132" spans="3:6">
      <c r="C132" s="201">
        <v>16</v>
      </c>
      <c r="D132" s="200">
        <v>17885</v>
      </c>
      <c r="E132" s="208">
        <v>13.6</v>
      </c>
      <c r="F132" s="201">
        <v>16</v>
      </c>
    </row>
    <row r="133" spans="3:6">
      <c r="C133" s="202">
        <v>17</v>
      </c>
      <c r="D133" s="203">
        <v>19030</v>
      </c>
      <c r="E133" s="207">
        <v>14.5</v>
      </c>
      <c r="F133" s="202">
        <v>17</v>
      </c>
    </row>
    <row r="134" spans="3:6">
      <c r="C134" s="201">
        <v>18</v>
      </c>
      <c r="D134" s="200">
        <v>20396</v>
      </c>
      <c r="E134" s="208">
        <v>15.4</v>
      </c>
      <c r="F134" s="201">
        <v>18</v>
      </c>
    </row>
    <row r="135" spans="3:6">
      <c r="C135" s="202">
        <v>19</v>
      </c>
      <c r="D135" s="203">
        <v>21641</v>
      </c>
      <c r="E135" s="207">
        <v>16.3</v>
      </c>
      <c r="F135" s="202">
        <v>19</v>
      </c>
    </row>
    <row r="136" spans="3:6">
      <c r="C136" s="201">
        <v>20</v>
      </c>
      <c r="D136" s="200">
        <v>23020</v>
      </c>
      <c r="E136" s="208">
        <v>17.3</v>
      </c>
      <c r="F136" s="201">
        <v>20</v>
      </c>
    </row>
    <row r="137" spans="3:6">
      <c r="C137" s="202">
        <v>21</v>
      </c>
      <c r="D137" s="203">
        <v>24502</v>
      </c>
      <c r="E137" s="207">
        <v>18.3</v>
      </c>
      <c r="F137" s="202">
        <v>21</v>
      </c>
    </row>
    <row r="138" spans="3:6">
      <c r="C138" s="201">
        <v>22</v>
      </c>
      <c r="D138" s="200">
        <v>26120</v>
      </c>
      <c r="E138" s="208">
        <v>19.399999999999999</v>
      </c>
      <c r="F138" s="201">
        <v>22</v>
      </c>
    </row>
    <row r="139" spans="3:6">
      <c r="C139" s="202">
        <v>23</v>
      </c>
      <c r="D139" s="203">
        <v>27736</v>
      </c>
      <c r="E139" s="207">
        <v>20.6</v>
      </c>
      <c r="F139" s="202">
        <v>23</v>
      </c>
    </row>
    <row r="140" spans="3:6">
      <c r="C140" s="201">
        <v>24</v>
      </c>
      <c r="D140" s="200">
        <v>29477</v>
      </c>
      <c r="E140" s="208">
        <v>21.8</v>
      </c>
      <c r="F140" s="201">
        <v>24</v>
      </c>
    </row>
    <row r="141" spans="3:6">
      <c r="C141" s="202">
        <v>25</v>
      </c>
      <c r="D141" s="203">
        <v>31219</v>
      </c>
      <c r="E141" s="207">
        <v>23</v>
      </c>
      <c r="F141" s="202">
        <v>25</v>
      </c>
    </row>
    <row r="142" spans="3:6">
      <c r="C142" s="201">
        <v>26</v>
      </c>
      <c r="D142" s="200">
        <v>33209</v>
      </c>
      <c r="E142" s="208">
        <v>24.4</v>
      </c>
      <c r="F142" s="201">
        <v>26</v>
      </c>
    </row>
    <row r="143" spans="3:6">
      <c r="C143" s="202">
        <v>27</v>
      </c>
      <c r="D143" s="203">
        <v>35200</v>
      </c>
      <c r="E143" s="207">
        <v>25.8</v>
      </c>
      <c r="F143" s="202">
        <v>27</v>
      </c>
    </row>
    <row r="144" spans="3:6">
      <c r="C144" s="201">
        <v>28</v>
      </c>
      <c r="D144" s="200">
        <v>37312</v>
      </c>
      <c r="E144" s="208">
        <v>27.2</v>
      </c>
      <c r="F144" s="201">
        <v>28</v>
      </c>
    </row>
    <row r="145" spans="3:6">
      <c r="C145" s="202">
        <v>29</v>
      </c>
      <c r="D145" s="203">
        <v>39551</v>
      </c>
      <c r="E145" s="207">
        <v>28.7</v>
      </c>
      <c r="F145" s="202">
        <v>29</v>
      </c>
    </row>
    <row r="146" spans="3:6">
      <c r="C146" s="201">
        <v>30</v>
      </c>
      <c r="D146" s="200">
        <v>41791</v>
      </c>
      <c r="E146" s="208">
        <v>30.3</v>
      </c>
      <c r="F146" s="201">
        <v>30</v>
      </c>
    </row>
    <row r="147" spans="3:6">
      <c r="C147" s="202">
        <v>31</v>
      </c>
      <c r="D147" s="203">
        <v>44322</v>
      </c>
      <c r="E147" s="207">
        <v>32</v>
      </c>
      <c r="F147" s="202">
        <v>31</v>
      </c>
    </row>
    <row r="148" spans="3:6">
      <c r="C148" s="201">
        <v>32</v>
      </c>
      <c r="D148" s="200">
        <v>46936</v>
      </c>
      <c r="E148" s="208">
        <v>33.5</v>
      </c>
      <c r="F148" s="201">
        <v>32</v>
      </c>
    </row>
    <row r="149" spans="3:6">
      <c r="C149" s="202">
        <v>33</v>
      </c>
      <c r="D149" s="203">
        <v>49675</v>
      </c>
      <c r="E149" s="207">
        <v>35.6</v>
      </c>
      <c r="F149" s="202">
        <v>33</v>
      </c>
    </row>
    <row r="150" spans="3:6">
      <c r="C150" s="201">
        <v>34</v>
      </c>
      <c r="D150" s="200">
        <v>52539</v>
      </c>
      <c r="E150" s="208">
        <v>37.200000000000003</v>
      </c>
      <c r="F150" s="201">
        <v>34</v>
      </c>
    </row>
    <row r="151" spans="3:6">
      <c r="C151" s="202">
        <v>35</v>
      </c>
      <c r="D151" s="203">
        <v>55472</v>
      </c>
      <c r="E151" s="207">
        <v>39.6</v>
      </c>
      <c r="F151" s="202">
        <v>35</v>
      </c>
    </row>
    <row r="152" spans="3:6">
      <c r="C152" s="201">
        <v>36</v>
      </c>
      <c r="D152" s="200">
        <v>58639</v>
      </c>
      <c r="E152" s="208">
        <v>41.3</v>
      </c>
      <c r="F152" s="201">
        <v>36</v>
      </c>
    </row>
    <row r="153" spans="3:6">
      <c r="C153" s="202">
        <v>37</v>
      </c>
      <c r="D153" s="203">
        <v>62001</v>
      </c>
      <c r="E153" s="207">
        <v>43.8</v>
      </c>
      <c r="F153" s="202">
        <v>37</v>
      </c>
    </row>
    <row r="154" spans="3:6">
      <c r="C154" s="201">
        <v>38</v>
      </c>
      <c r="D154" s="200">
        <v>65487</v>
      </c>
      <c r="E154" s="208">
        <v>45.8</v>
      </c>
      <c r="F154" s="201">
        <v>38</v>
      </c>
    </row>
    <row r="155" spans="3:6">
      <c r="C155" s="202">
        <v>39</v>
      </c>
      <c r="D155" s="203">
        <v>68973</v>
      </c>
      <c r="E155" s="207">
        <v>48.4</v>
      </c>
      <c r="F155" s="202">
        <v>39</v>
      </c>
    </row>
    <row r="156" spans="3:6">
      <c r="C156" s="201">
        <v>40</v>
      </c>
      <c r="D156" s="200">
        <v>71761</v>
      </c>
      <c r="E156" s="208">
        <v>50.7</v>
      </c>
      <c r="F156" s="201">
        <v>40</v>
      </c>
    </row>
    <row r="157" spans="3:6">
      <c r="C157" s="202">
        <v>42</v>
      </c>
      <c r="D157" s="203">
        <v>81049</v>
      </c>
      <c r="E157" s="207">
        <v>56.5</v>
      </c>
      <c r="F157" s="202">
        <v>42</v>
      </c>
    </row>
    <row r="158" spans="3:6">
      <c r="C158" s="201">
        <v>44</v>
      </c>
      <c r="D158" s="200">
        <v>89889</v>
      </c>
      <c r="E158" s="208">
        <v>62.3</v>
      </c>
      <c r="F158" s="201">
        <v>44</v>
      </c>
    </row>
    <row r="159" spans="3:6">
      <c r="C159" s="202">
        <v>45</v>
      </c>
      <c r="D159" s="203">
        <v>94527</v>
      </c>
      <c r="E159" s="207">
        <v>65.3</v>
      </c>
      <c r="F159" s="202">
        <v>45</v>
      </c>
    </row>
    <row r="160" spans="3:6">
      <c r="C160" s="201">
        <v>46</v>
      </c>
      <c r="D160" s="200">
        <v>99600</v>
      </c>
      <c r="E160" s="208">
        <v>68.7</v>
      </c>
      <c r="F160" s="201">
        <v>46</v>
      </c>
    </row>
    <row r="161" spans="3:6">
      <c r="C161" s="202">
        <v>48</v>
      </c>
      <c r="D161" s="203">
        <v>110681</v>
      </c>
      <c r="E161" s="207">
        <v>75.5</v>
      </c>
      <c r="F161" s="202">
        <v>48</v>
      </c>
    </row>
    <row r="162" spans="3:6">
      <c r="C162" s="201">
        <v>50</v>
      </c>
      <c r="D162" s="200">
        <v>120398</v>
      </c>
      <c r="E162" s="208">
        <v>82.3</v>
      </c>
      <c r="F162" s="201">
        <v>50</v>
      </c>
    </row>
    <row r="163" spans="3:6">
      <c r="C163" s="202">
        <v>55</v>
      </c>
      <c r="D163" s="203">
        <v>155472</v>
      </c>
      <c r="E163" s="207">
        <v>104</v>
      </c>
      <c r="F163" s="202">
        <v>55</v>
      </c>
    </row>
    <row r="164" spans="3:6">
      <c r="C164" s="201">
        <v>60</v>
      </c>
      <c r="D164" s="200">
        <v>196517</v>
      </c>
      <c r="E164" s="208">
        <v>129.5</v>
      </c>
      <c r="F164" s="201">
        <v>60</v>
      </c>
    </row>
    <row r="165" spans="3:6">
      <c r="C165" s="202">
        <v>70</v>
      </c>
      <c r="D165" s="203">
        <v>307212</v>
      </c>
      <c r="E165" s="207">
        <v>196.5</v>
      </c>
      <c r="F165" s="202">
        <v>70</v>
      </c>
    </row>
    <row r="166" spans="3:6">
      <c r="C166" s="201">
        <v>80</v>
      </c>
      <c r="D166" s="200">
        <v>467662</v>
      </c>
      <c r="E166" s="208">
        <v>290.5</v>
      </c>
      <c r="F166" s="201">
        <v>80</v>
      </c>
    </row>
    <row r="167" spans="3:6">
      <c r="C167" s="202">
        <v>90</v>
      </c>
      <c r="D167" s="203">
        <v>691542</v>
      </c>
      <c r="E167" s="203">
        <v>418</v>
      </c>
      <c r="F167" s="202">
        <v>90</v>
      </c>
    </row>
    <row r="168" spans="3:6">
      <c r="C168" s="201">
        <v>100</v>
      </c>
      <c r="D168" s="200">
        <v>1000980</v>
      </c>
      <c r="E168" s="200">
        <v>558</v>
      </c>
      <c r="F168" s="201">
        <v>100</v>
      </c>
    </row>
    <row r="170" spans="3:6">
      <c r="C170" s="91" t="s">
        <v>313</v>
      </c>
    </row>
  </sheetData>
  <mergeCells count="1">
    <mergeCell ref="B6:I6"/>
  </mergeCells>
  <phoneticPr fontId="12" type="noConversion"/>
  <pageMargins left="0.32" right="0.31" top="0.56999999999999995" bottom="0.4" header="0.4921259845" footer="0.4921259845"/>
  <pageSetup paperSize="9" scale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Feuil4"/>
  <dimension ref="A2:BE60"/>
  <sheetViews>
    <sheetView topLeftCell="A34" workbookViewId="0">
      <selection activeCell="I46" sqref="I46"/>
    </sheetView>
  </sheetViews>
  <sheetFormatPr defaultColWidth="11.42578125" defaultRowHeight="12.75"/>
  <cols>
    <col min="1" max="1" width="11.42578125" customWidth="1"/>
    <col min="2" max="2" width="22.85546875" bestFit="1" customWidth="1"/>
    <col min="3" max="3" width="11.42578125" customWidth="1"/>
    <col min="4" max="4" width="11.7109375" bestFit="1" customWidth="1"/>
    <col min="5" max="5" width="7.5703125" customWidth="1"/>
    <col min="6" max="6" width="7.28515625" customWidth="1"/>
    <col min="7" max="7" width="9" customWidth="1"/>
    <col min="8" max="9" width="9.140625" customWidth="1"/>
    <col min="10" max="10" width="13" bestFit="1" customWidth="1"/>
    <col min="11" max="11" width="10" customWidth="1"/>
    <col min="12" max="13" width="9" bestFit="1" customWidth="1"/>
    <col min="14" max="14" width="9.85546875" bestFit="1" customWidth="1"/>
    <col min="15" max="15" width="10" customWidth="1"/>
  </cols>
  <sheetData>
    <row r="2" spans="2:16">
      <c r="C2" s="136" t="s">
        <v>252</v>
      </c>
    </row>
    <row r="3" spans="2:16" ht="13.5" thickBot="1"/>
    <row r="4" spans="2:16" ht="51">
      <c r="B4" s="258"/>
      <c r="C4" s="259"/>
      <c r="D4" s="260" t="s">
        <v>253</v>
      </c>
      <c r="E4" s="261" t="s">
        <v>254</v>
      </c>
      <c r="F4" s="262" t="s">
        <v>255</v>
      </c>
      <c r="G4" s="262" t="s">
        <v>256</v>
      </c>
      <c r="H4" s="263" t="s">
        <v>257</v>
      </c>
      <c r="I4" s="264" t="s">
        <v>258</v>
      </c>
      <c r="J4" s="264" t="s">
        <v>259</v>
      </c>
      <c r="K4" s="264" t="s">
        <v>260</v>
      </c>
      <c r="L4" s="264" t="s">
        <v>261</v>
      </c>
      <c r="M4" s="264" t="s">
        <v>262</v>
      </c>
      <c r="N4" s="262" t="s">
        <v>342</v>
      </c>
      <c r="O4" s="262" t="s">
        <v>343</v>
      </c>
      <c r="P4" s="260" t="s">
        <v>263</v>
      </c>
    </row>
    <row r="5" spans="2:16">
      <c r="B5" s="142"/>
      <c r="C5" s="143" t="s">
        <v>264</v>
      </c>
      <c r="D5" s="144"/>
      <c r="E5" s="145">
        <f>+(G5-F5)/F5</f>
        <v>65.666666666666671</v>
      </c>
      <c r="F5" s="146">
        <v>4.5</v>
      </c>
      <c r="G5" s="147">
        <v>300</v>
      </c>
      <c r="H5" s="148">
        <v>310</v>
      </c>
      <c r="I5" s="149"/>
      <c r="J5" s="149"/>
      <c r="K5" s="149"/>
      <c r="L5" s="149"/>
      <c r="M5" s="149"/>
      <c r="N5" s="150"/>
      <c r="O5" s="150"/>
      <c r="P5" s="144"/>
    </row>
    <row r="6" spans="2:16">
      <c r="B6" s="142"/>
      <c r="C6" s="143"/>
      <c r="D6" s="144"/>
      <c r="E6" s="151"/>
      <c r="F6" s="150"/>
      <c r="G6" s="150"/>
      <c r="H6" s="148"/>
      <c r="I6" s="149"/>
      <c r="J6" s="149"/>
      <c r="K6" s="149"/>
      <c r="L6" s="149"/>
      <c r="M6" s="149"/>
      <c r="N6" s="150"/>
      <c r="O6" s="150"/>
      <c r="P6" s="144"/>
    </row>
    <row r="7" spans="2:16">
      <c r="B7" s="142"/>
      <c r="C7" s="143"/>
      <c r="D7" s="144"/>
      <c r="E7" s="151"/>
      <c r="F7" s="152"/>
      <c r="G7" s="152"/>
      <c r="H7" s="153"/>
      <c r="I7" s="149"/>
      <c r="J7" s="149"/>
      <c r="K7" s="154"/>
      <c r="L7" s="149"/>
      <c r="M7" s="149"/>
      <c r="N7" s="155"/>
      <c r="O7" s="155"/>
      <c r="P7" s="144"/>
    </row>
    <row r="8" spans="2:16" ht="16.5" thickBot="1">
      <c r="B8" s="156" t="s">
        <v>265</v>
      </c>
      <c r="C8" s="157" t="s">
        <v>266</v>
      </c>
      <c r="D8" s="158">
        <f>P8/E$5</f>
        <v>3694.4364428861186</v>
      </c>
      <c r="E8" s="159"/>
      <c r="F8" s="160">
        <v>4.5999999999999996</v>
      </c>
      <c r="G8" s="161">
        <v>7</v>
      </c>
      <c r="H8" s="162">
        <v>496</v>
      </c>
      <c r="I8" s="163">
        <f>[9]!H_(11,N8,G8)</f>
        <v>32.691450211063604</v>
      </c>
      <c r="J8" s="163">
        <f>[9]!H_(11,O8,G8)</f>
        <v>28.970795046846295</v>
      </c>
      <c r="K8" s="164">
        <f>(J8-I8)*H8/1000</f>
        <v>-1.8454449614517854</v>
      </c>
      <c r="L8" s="164">
        <f t="shared" ref="L8:M12" si="0">[9]!S_(11,N8,F8)</f>
        <v>2.7302415338399593</v>
      </c>
      <c r="M8" s="164">
        <f t="shared" si="0"/>
        <v>4.3482246081325444</v>
      </c>
      <c r="N8" s="233">
        <v>30</v>
      </c>
      <c r="O8" s="233">
        <v>21</v>
      </c>
      <c r="P8" s="158">
        <f>H8*((I8-J8)-G$5*(L8-M8))</f>
        <v>242601.32641618847</v>
      </c>
    </row>
    <row r="9" spans="2:16" ht="16.5" thickBot="1">
      <c r="B9" s="156" t="s">
        <v>267</v>
      </c>
      <c r="C9" s="157" t="s">
        <v>266</v>
      </c>
      <c r="D9" s="158">
        <f>P9/E$5</f>
        <v>3839.6814240076492</v>
      </c>
      <c r="E9" s="159"/>
      <c r="F9" s="160">
        <v>4.5999999999999996</v>
      </c>
      <c r="G9" s="160">
        <v>7</v>
      </c>
      <c r="H9" s="162">
        <v>515.5</v>
      </c>
      <c r="I9" s="163">
        <f>[9]!H_(11,N9,G9)</f>
        <v>32.691450211063604</v>
      </c>
      <c r="J9" s="163">
        <f>[9]!H_(11,O9,G9)</f>
        <v>28.970795046846295</v>
      </c>
      <c r="K9" s="164">
        <f>(J9-I9)*H9/1000</f>
        <v>-1.9179977371540229</v>
      </c>
      <c r="L9" s="164">
        <f t="shared" si="0"/>
        <v>2.7302415338399593</v>
      </c>
      <c r="M9" s="164">
        <f t="shared" si="0"/>
        <v>4.3482246081325444</v>
      </c>
      <c r="N9" s="233">
        <v>30</v>
      </c>
      <c r="O9" s="233">
        <v>21</v>
      </c>
      <c r="P9" s="158">
        <f>H9*((I9-J9)-G$5*(L9-M9))</f>
        <v>252139.08017650232</v>
      </c>
    </row>
    <row r="10" spans="2:16" ht="16.5" thickBot="1">
      <c r="B10" s="156" t="s">
        <v>268</v>
      </c>
      <c r="C10" s="157" t="s">
        <v>266</v>
      </c>
      <c r="D10" s="158">
        <f>P10/E$5</f>
        <v>969.36358022073341</v>
      </c>
      <c r="E10" s="159"/>
      <c r="F10" s="160">
        <v>4.5999999999999996</v>
      </c>
      <c r="G10" s="160">
        <v>4.5</v>
      </c>
      <c r="H10" s="162">
        <v>536.6</v>
      </c>
      <c r="I10" s="163">
        <f>[9]!H_(11,N10,G10)</f>
        <v>24.933642179462712</v>
      </c>
      <c r="J10" s="163">
        <f>[9]!H_(11,O10,G10)</f>
        <v>15.744877693230853</v>
      </c>
      <c r="K10" s="164">
        <f>(J10-I10)*H10/1000</f>
        <v>-4.9306910233120158</v>
      </c>
      <c r="L10" s="164">
        <f t="shared" si="0"/>
        <v>2.7302415338399593</v>
      </c>
      <c r="M10" s="164">
        <f t="shared" si="0"/>
        <v>3.0950333345471868</v>
      </c>
      <c r="N10" s="233">
        <v>30</v>
      </c>
      <c r="O10" s="233">
        <v>12</v>
      </c>
      <c r="P10" s="158">
        <f>H10*((I10-J10)-G$5*(L10-M10))</f>
        <v>63654.875101161502</v>
      </c>
    </row>
    <row r="11" spans="2:16" ht="16.5" thickBot="1">
      <c r="B11" s="165" t="s">
        <v>269</v>
      </c>
      <c r="C11" s="157" t="s">
        <v>266</v>
      </c>
      <c r="D11" s="158">
        <f>P11/E$5</f>
        <v>997.04115848321737</v>
      </c>
      <c r="E11" s="159"/>
      <c r="F11" s="160">
        <v>4.5999999999999996</v>
      </c>
      <c r="G11" s="160">
        <v>4.5</v>
      </c>
      <c r="H11" s="162">
        <v>578.79999999999995</v>
      </c>
      <c r="I11" s="163">
        <f>[9]!H_(11,N11,G11)</f>
        <v>24.933642179462712</v>
      </c>
      <c r="J11" s="163">
        <f>[9]!H_(11,O11,G11)</f>
        <v>15.994935028368113</v>
      </c>
      <c r="K11" s="164">
        <f>(J11-I11)*H11/1000</f>
        <v>-5.1737236990535536</v>
      </c>
      <c r="L11" s="164">
        <f t="shared" si="0"/>
        <v>2.7302415338399593</v>
      </c>
      <c r="M11" s="164">
        <f t="shared" si="0"/>
        <v>3.0775039486522782</v>
      </c>
      <c r="N11" s="233">
        <v>30</v>
      </c>
      <c r="O11" s="233">
        <v>12.5</v>
      </c>
      <c r="P11" s="158">
        <f>H11*((I11-J11)-G$5*(L11-M11))</f>
        <v>65472.369407064609</v>
      </c>
    </row>
    <row r="12" spans="2:16" ht="16.5" thickBot="1">
      <c r="B12" s="165" t="s">
        <v>270</v>
      </c>
      <c r="C12" s="157" t="s">
        <v>266</v>
      </c>
      <c r="D12" s="158">
        <f>P12/E$5</f>
        <v>1828.3606219400447</v>
      </c>
      <c r="E12" s="159"/>
      <c r="F12" s="160">
        <v>4.5999999999999996</v>
      </c>
      <c r="G12" s="160">
        <v>5.3</v>
      </c>
      <c r="H12" s="162">
        <v>430</v>
      </c>
      <c r="I12" s="163">
        <f>[9]!H_(11,N12,G12)</f>
        <v>27.073511344515531</v>
      </c>
      <c r="J12" s="163">
        <f>[9]!H_(11,O12,G12)</f>
        <v>18.717897862926314</v>
      </c>
      <c r="K12" s="164">
        <f>(J12-I12)*H12/1000</f>
        <v>-3.5929137970833631</v>
      </c>
      <c r="L12" s="164">
        <f t="shared" si="0"/>
        <v>2.7302415338399593</v>
      </c>
      <c r="M12" s="164">
        <f t="shared" si="0"/>
        <v>3.6331053610516872</v>
      </c>
      <c r="N12" s="233">
        <v>30</v>
      </c>
      <c r="O12" s="233">
        <v>12.5</v>
      </c>
      <c r="P12" s="158">
        <f>H12*((I12-J12)-G$5*(L12-M12))</f>
        <v>120062.34750739628</v>
      </c>
    </row>
    <row r="18" spans="1:57" ht="13.5" thickBot="1">
      <c r="A18" s="234"/>
      <c r="B18" s="14"/>
      <c r="C18" s="14"/>
      <c r="D18" s="235"/>
      <c r="E18" s="235"/>
      <c r="F18" s="235"/>
      <c r="G18" s="235"/>
      <c r="H18" s="235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s="265" customFormat="1" ht="38.25">
      <c r="B19" s="282"/>
      <c r="C19" s="283" t="s">
        <v>360</v>
      </c>
      <c r="D19" s="284" t="s">
        <v>344</v>
      </c>
      <c r="E19" s="285" t="s">
        <v>359</v>
      </c>
      <c r="F19" s="284" t="s">
        <v>358</v>
      </c>
      <c r="G19" s="285" t="s">
        <v>357</v>
      </c>
      <c r="H19" s="283" t="s">
        <v>347</v>
      </c>
      <c r="I19" s="286" t="s">
        <v>361</v>
      </c>
      <c r="J19" s="286" t="s">
        <v>362</v>
      </c>
      <c r="K19" s="286" t="s">
        <v>363</v>
      </c>
      <c r="L19" s="286" t="s">
        <v>262</v>
      </c>
      <c r="M19" s="287" t="s">
        <v>364</v>
      </c>
      <c r="N19" s="284" t="s">
        <v>365</v>
      </c>
      <c r="O19" s="288" t="s">
        <v>356</v>
      </c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</row>
    <row r="20" spans="1:57" s="265" customFormat="1" ht="22.5" customHeight="1">
      <c r="B20" s="266" t="s">
        <v>366</v>
      </c>
      <c r="C20" s="267">
        <f t="shared" ref="C20:C25" si="1">O20/$E$33</f>
        <v>242.54628023810019</v>
      </c>
      <c r="D20" s="268"/>
      <c r="E20" s="269">
        <v>13.5</v>
      </c>
      <c r="F20" s="269">
        <v>18.5</v>
      </c>
      <c r="G20" s="274">
        <f>-(I20-J20)*H20</f>
        <v>701.73930300727295</v>
      </c>
      <c r="H20" s="269">
        <v>26.1</v>
      </c>
      <c r="I20" s="270">
        <f t="shared" ref="I20:J25" si="2">[9]!H_(11,M20,E20)</f>
        <v>83.639694931845995</v>
      </c>
      <c r="J20" s="267">
        <f t="shared" si="2"/>
        <v>110.52625826545798</v>
      </c>
      <c r="K20" s="270">
        <f t="shared" ref="K20:L25" si="3">[9]!S_(11,M20,E20)</f>
        <v>14.43502048841712</v>
      </c>
      <c r="L20" s="270">
        <f t="shared" si="3"/>
        <v>16.558768258358693</v>
      </c>
      <c r="M20" s="269">
        <v>1.6</v>
      </c>
      <c r="N20" s="269">
        <v>1.3</v>
      </c>
      <c r="O20" s="271">
        <f t="shared" ref="O20:O25" si="4">H20*((I20-J20)-E$31*(K20-L20))</f>
        <v>15927.205735635247</v>
      </c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</row>
    <row r="21" spans="1:57" s="265" customFormat="1" ht="22.5" customHeight="1">
      <c r="B21" s="266" t="s">
        <v>367</v>
      </c>
      <c r="C21" s="267">
        <f t="shared" si="1"/>
        <v>100.60095766146351</v>
      </c>
      <c r="D21" s="268"/>
      <c r="E21" s="269">
        <v>13.5</v>
      </c>
      <c r="F21" s="269">
        <v>23.15</v>
      </c>
      <c r="G21" s="269">
        <v>361</v>
      </c>
      <c r="H21" s="273">
        <f>G21/(J21-I21)</f>
        <v>7.0295280420262429</v>
      </c>
      <c r="I21" s="270">
        <f t="shared" si="2"/>
        <v>83.639694931845995</v>
      </c>
      <c r="J21" s="267">
        <f t="shared" si="2"/>
        <v>134.99449397976937</v>
      </c>
      <c r="K21" s="270">
        <f t="shared" si="3"/>
        <v>14.43502048841712</v>
      </c>
      <c r="L21" s="270">
        <f t="shared" si="3"/>
        <v>17.738765069584627</v>
      </c>
      <c r="M21" s="269">
        <v>1.6</v>
      </c>
      <c r="N21" s="269">
        <v>1.3</v>
      </c>
      <c r="O21" s="271">
        <f t="shared" si="4"/>
        <v>6606.1295531027708</v>
      </c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</row>
    <row r="22" spans="1:57" s="265" customFormat="1" ht="22.5" customHeight="1">
      <c r="B22" s="266" t="s">
        <v>368</v>
      </c>
      <c r="C22" s="267">
        <f t="shared" si="1"/>
        <v>25.080571162137716</v>
      </c>
      <c r="D22" s="268"/>
      <c r="E22" s="269">
        <v>13.5</v>
      </c>
      <c r="F22" s="269">
        <v>23.15</v>
      </c>
      <c r="G22" s="269">
        <v>90</v>
      </c>
      <c r="H22" s="273">
        <f>G22/(J22-I22)</f>
        <v>1.7525139162946313</v>
      </c>
      <c r="I22" s="270">
        <f t="shared" si="2"/>
        <v>83.639694931845995</v>
      </c>
      <c r="J22" s="267">
        <f t="shared" si="2"/>
        <v>134.99449397976937</v>
      </c>
      <c r="K22" s="270">
        <f t="shared" si="3"/>
        <v>14.43502048841712</v>
      </c>
      <c r="L22" s="270">
        <f t="shared" si="3"/>
        <v>17.738765069584627</v>
      </c>
      <c r="M22" s="269">
        <v>1.6</v>
      </c>
      <c r="N22" s="269">
        <v>1.3</v>
      </c>
      <c r="O22" s="271">
        <f t="shared" si="4"/>
        <v>1646.9575063137102</v>
      </c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</row>
    <row r="23" spans="1:57" s="265" customFormat="1" ht="22.5" customHeight="1">
      <c r="B23" s="266" t="s">
        <v>369</v>
      </c>
      <c r="C23" s="267">
        <f t="shared" si="1"/>
        <v>41.243605911070908</v>
      </c>
      <c r="D23" s="268"/>
      <c r="E23" s="269">
        <v>13.5</v>
      </c>
      <c r="F23" s="269">
        <v>23.15</v>
      </c>
      <c r="G23" s="269">
        <v>148</v>
      </c>
      <c r="H23" s="273">
        <f>G23/(J23-I23)</f>
        <v>2.8819117734622823</v>
      </c>
      <c r="I23" s="270">
        <f t="shared" si="2"/>
        <v>83.639694931845995</v>
      </c>
      <c r="J23" s="267">
        <f t="shared" si="2"/>
        <v>134.99449397976937</v>
      </c>
      <c r="K23" s="270">
        <f t="shared" si="3"/>
        <v>14.43502048841712</v>
      </c>
      <c r="L23" s="270">
        <f t="shared" si="3"/>
        <v>17.738765069584627</v>
      </c>
      <c r="M23" s="269">
        <v>1.6</v>
      </c>
      <c r="N23" s="269">
        <v>1.3</v>
      </c>
      <c r="O23" s="271">
        <f t="shared" si="4"/>
        <v>2708.3301214936564</v>
      </c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</row>
    <row r="24" spans="1:57" s="265" customFormat="1" ht="22.5" customHeight="1">
      <c r="B24" s="266" t="s">
        <v>349</v>
      </c>
      <c r="C24" s="267">
        <f t="shared" si="1"/>
        <v>0</v>
      </c>
      <c r="D24" s="268"/>
      <c r="E24" s="269">
        <v>1.75</v>
      </c>
      <c r="F24" s="269">
        <v>300</v>
      </c>
      <c r="G24" s="274">
        <f>-(I24-J24)*H24</f>
        <v>0</v>
      </c>
      <c r="H24" s="269">
        <v>0</v>
      </c>
      <c r="I24" s="270">
        <f t="shared" si="2"/>
        <v>1.5561102915565472</v>
      </c>
      <c r="J24" s="267">
        <f t="shared" si="2"/>
        <v>1573.5953137334654</v>
      </c>
      <c r="K24" s="270">
        <f t="shared" si="3"/>
        <v>0.47157447770070243</v>
      </c>
      <c r="L24" s="270">
        <f t="shared" si="3"/>
        <v>31.1482028559826</v>
      </c>
      <c r="M24" s="269">
        <v>1.25</v>
      </c>
      <c r="N24" s="269">
        <v>1.25</v>
      </c>
      <c r="O24" s="271">
        <f t="shared" si="4"/>
        <v>0</v>
      </c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</row>
    <row r="25" spans="1:57" s="265" customFormat="1" ht="22.5" customHeight="1">
      <c r="B25" s="275" t="s">
        <v>350</v>
      </c>
      <c r="C25" s="276">
        <f t="shared" si="1"/>
        <v>0</v>
      </c>
      <c r="D25" s="277"/>
      <c r="E25" s="278">
        <v>20.5</v>
      </c>
      <c r="F25" s="278">
        <v>22</v>
      </c>
      <c r="G25" s="279">
        <f>-(I25-J25)*H25</f>
        <v>0</v>
      </c>
      <c r="H25" s="278">
        <v>0</v>
      </c>
      <c r="I25" s="280">
        <f t="shared" si="2"/>
        <v>121.11894168243111</v>
      </c>
      <c r="J25" s="276">
        <f t="shared" si="2"/>
        <v>128.99910053057351</v>
      </c>
      <c r="K25" s="280">
        <f t="shared" si="3"/>
        <v>17.268584337942716</v>
      </c>
      <c r="L25" s="280">
        <f t="shared" si="3"/>
        <v>17.639573072889721</v>
      </c>
      <c r="M25" s="278">
        <v>1.2</v>
      </c>
      <c r="N25" s="278">
        <v>1.2</v>
      </c>
      <c r="O25" s="281">
        <f t="shared" si="4"/>
        <v>0</v>
      </c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</row>
    <row r="26" spans="1:57">
      <c r="B26" s="53"/>
      <c r="C26" s="244"/>
      <c r="D26" s="53"/>
      <c r="E26" s="245"/>
      <c r="F26" s="245"/>
      <c r="G26" s="245"/>
      <c r="H26" s="53"/>
      <c r="I26" s="53"/>
      <c r="J26" s="53"/>
      <c r="K26" s="53"/>
      <c r="L26" s="53"/>
      <c r="M26" s="53"/>
      <c r="N26" s="244"/>
      <c r="O26" s="246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5.75">
      <c r="B27" s="247" t="s">
        <v>351</v>
      </c>
      <c r="C27" s="248">
        <f>SUM(C20:C25)</f>
        <v>409.47141497277238</v>
      </c>
      <c r="D27" s="14"/>
      <c r="E27" s="14"/>
      <c r="F27" s="14"/>
      <c r="G27" s="14"/>
      <c r="H27" s="14"/>
      <c r="I27" s="53"/>
      <c r="J27" s="53"/>
      <c r="K27" s="53"/>
      <c r="L27" s="53"/>
      <c r="M27" s="53"/>
      <c r="N27" s="244"/>
      <c r="O27" s="24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s="243" customFormat="1" ht="15.75" customHeight="1">
      <c r="B28" s="237"/>
      <c r="D28" s="237"/>
      <c r="E28" s="238"/>
      <c r="F28" s="238"/>
      <c r="G28" s="238"/>
      <c r="H28" s="237"/>
      <c r="I28" s="237"/>
      <c r="J28" s="237"/>
      <c r="K28" s="237"/>
      <c r="L28" s="237"/>
      <c r="M28" s="237"/>
      <c r="N28" s="249"/>
      <c r="O28" s="239"/>
    </row>
    <row r="29" spans="1:57" s="243" customFormat="1">
      <c r="B29" s="14"/>
      <c r="D29" s="250"/>
      <c r="G29" s="238"/>
      <c r="H29" s="237"/>
      <c r="I29" s="237"/>
      <c r="J29" s="237"/>
      <c r="K29" s="237"/>
      <c r="L29" s="237"/>
      <c r="M29" s="237"/>
      <c r="N29" s="249"/>
      <c r="O29" s="239"/>
    </row>
    <row r="30" spans="1:57" s="243" customFormat="1">
      <c r="B30" s="251" t="s">
        <v>352</v>
      </c>
      <c r="C30" s="252" t="s">
        <v>353</v>
      </c>
      <c r="E30" s="102">
        <v>4.5</v>
      </c>
      <c r="F30" s="253" t="s">
        <v>96</v>
      </c>
      <c r="G30" s="254"/>
      <c r="H30" s="252"/>
      <c r="I30" s="255"/>
      <c r="J30" s="255"/>
      <c r="K30" s="255"/>
      <c r="L30" s="255"/>
      <c r="M30" s="256"/>
      <c r="N30" s="256"/>
      <c r="O30" s="252"/>
    </row>
    <row r="31" spans="1:57" s="243" customFormat="1">
      <c r="B31" s="237"/>
      <c r="C31" s="249" t="s">
        <v>354</v>
      </c>
      <c r="E31" s="102">
        <v>300</v>
      </c>
      <c r="F31" s="257" t="s">
        <v>96</v>
      </c>
      <c r="G31" s="241"/>
      <c r="H31" s="249"/>
      <c r="I31" s="239"/>
      <c r="J31" s="239"/>
      <c r="K31" s="239"/>
      <c r="L31" s="239"/>
      <c r="M31" s="237"/>
      <c r="N31" s="237"/>
      <c r="O31" s="249"/>
    </row>
    <row r="32" spans="1:57" s="243" customFormat="1">
      <c r="B32" s="237"/>
      <c r="C32" s="249"/>
      <c r="D32" s="237"/>
      <c r="E32" s="238"/>
      <c r="F32" s="238"/>
      <c r="G32" s="238"/>
      <c r="H32" s="249"/>
      <c r="I32" s="239"/>
      <c r="J32" s="239"/>
      <c r="K32" s="239"/>
      <c r="L32" s="239"/>
      <c r="M32" s="240"/>
      <c r="N32" s="240"/>
      <c r="O32" s="249"/>
    </row>
    <row r="33" spans="2:15">
      <c r="C33" t="s">
        <v>355</v>
      </c>
      <c r="E33">
        <f>(E31-E30)/E30</f>
        <v>65.666666666666671</v>
      </c>
    </row>
    <row r="40" spans="2:15" ht="13.5" thickBot="1">
      <c r="B40" s="234"/>
      <c r="C40" s="14"/>
      <c r="D40" s="14"/>
      <c r="E40" s="235"/>
      <c r="F40" s="235"/>
      <c r="G40" s="235"/>
      <c r="H40" s="235"/>
      <c r="I40" s="14"/>
      <c r="J40" s="14"/>
      <c r="K40" s="14"/>
      <c r="L40" s="14"/>
      <c r="M40" s="14"/>
      <c r="N40" s="14"/>
      <c r="O40" s="14"/>
    </row>
    <row r="41" spans="2:15" ht="38.25">
      <c r="B41" s="291"/>
      <c r="C41" s="137" t="s">
        <v>253</v>
      </c>
      <c r="D41" s="292" t="s">
        <v>254</v>
      </c>
      <c r="E41" s="139" t="s">
        <v>345</v>
      </c>
      <c r="F41" s="139" t="s">
        <v>346</v>
      </c>
      <c r="G41" s="140" t="s">
        <v>347</v>
      </c>
      <c r="H41" s="141" t="s">
        <v>258</v>
      </c>
      <c r="I41" s="141" t="s">
        <v>259</v>
      </c>
      <c r="J41" s="141" t="s">
        <v>261</v>
      </c>
      <c r="K41" s="141" t="s">
        <v>262</v>
      </c>
      <c r="L41" s="139" t="s">
        <v>397</v>
      </c>
      <c r="M41" s="139" t="s">
        <v>398</v>
      </c>
      <c r="N41" s="293" t="s">
        <v>348</v>
      </c>
      <c r="O41" s="294" t="s">
        <v>399</v>
      </c>
    </row>
    <row r="42" spans="2:15">
      <c r="B42" s="295" t="s">
        <v>264</v>
      </c>
      <c r="C42" s="144"/>
      <c r="D42" s="296">
        <f>+(F42-E42)/E42</f>
        <v>65.666666666666671</v>
      </c>
      <c r="E42" s="152">
        <v>4.5</v>
      </c>
      <c r="F42" s="152">
        <v>300</v>
      </c>
      <c r="G42" s="148"/>
      <c r="H42" s="149"/>
      <c r="I42" s="149"/>
      <c r="J42" s="149"/>
      <c r="K42" s="149"/>
      <c r="L42" s="150"/>
      <c r="M42" s="150"/>
      <c r="N42" s="297"/>
      <c r="O42" s="298"/>
    </row>
    <row r="43" spans="2:15">
      <c r="B43" s="295"/>
      <c r="C43" s="144"/>
      <c r="D43" s="299"/>
      <c r="E43" s="150"/>
      <c r="F43" s="150"/>
      <c r="G43" s="148"/>
      <c r="H43" s="149"/>
      <c r="I43" s="149"/>
      <c r="J43" s="149"/>
      <c r="K43" s="149"/>
      <c r="L43" s="300"/>
      <c r="M43" s="300"/>
      <c r="N43" s="297"/>
      <c r="O43" s="298"/>
    </row>
    <row r="44" spans="2:15">
      <c r="B44" s="295" t="s">
        <v>400</v>
      </c>
      <c r="C44" s="144">
        <f>N44/$D$42</f>
        <v>1458.9760406270841</v>
      </c>
      <c r="D44" s="299"/>
      <c r="E44" s="152">
        <v>80</v>
      </c>
      <c r="F44" s="152">
        <v>100</v>
      </c>
      <c r="G44" s="153">
        <v>300</v>
      </c>
      <c r="H44" s="270">
        <f t="shared" ref="H44:I46" si="5">[9]!H_(11,L44,E44)</f>
        <v>435.20067345154297</v>
      </c>
      <c r="I44" s="267">
        <f t="shared" si="5"/>
        <v>539.12001125978395</v>
      </c>
      <c r="J44" s="270">
        <f t="shared" ref="J44:K46" si="6">[9]!S_(11,L44,E44)</f>
        <v>18.733004150637232</v>
      </c>
      <c r="K44" s="270">
        <f t="shared" si="6"/>
        <v>20.143914091492611</v>
      </c>
      <c r="L44" s="301">
        <v>18</v>
      </c>
      <c r="M44" s="301">
        <v>16</v>
      </c>
      <c r="N44" s="297">
        <f>G44*((H44-I44)-$F$42*(J44-K44))</f>
        <v>95806.093334511868</v>
      </c>
      <c r="O44" s="144">
        <f>+(I44-H44)*G44</f>
        <v>31175.801342472296</v>
      </c>
    </row>
    <row r="45" spans="2:15">
      <c r="B45" s="295" t="s">
        <v>401</v>
      </c>
      <c r="C45" s="144">
        <f>N45/$D$42</f>
        <v>35.350835653927973</v>
      </c>
      <c r="D45" s="299"/>
      <c r="E45" s="152">
        <v>4.45</v>
      </c>
      <c r="F45" s="152">
        <v>300</v>
      </c>
      <c r="G45" s="153">
        <v>0.35</v>
      </c>
      <c r="H45" s="270">
        <f t="shared" si="5"/>
        <v>11.328616067011064</v>
      </c>
      <c r="I45" s="267">
        <f t="shared" si="5"/>
        <v>1573.5953137334654</v>
      </c>
      <c r="J45" s="270">
        <f t="shared" si="6"/>
        <v>3.8323468040029565</v>
      </c>
      <c r="K45" s="270">
        <f t="shared" si="6"/>
        <v>31.1482028559826</v>
      </c>
      <c r="L45" s="301">
        <v>1.25</v>
      </c>
      <c r="M45" s="301">
        <v>1.25</v>
      </c>
      <c r="N45" s="297">
        <f>G45*((H45-I45)-$F$42*(J45-K45))</f>
        <v>2321.3715412746037</v>
      </c>
      <c r="O45" s="144">
        <f>+(I45-H45)*G45</f>
        <v>546.79334418325902</v>
      </c>
    </row>
    <row r="46" spans="2:15" ht="13.5" thickBot="1">
      <c r="B46" s="302" t="s">
        <v>350</v>
      </c>
      <c r="C46" s="158">
        <f>N46/$D$42</f>
        <v>999.93960067906414</v>
      </c>
      <c r="D46" s="303"/>
      <c r="E46" s="160">
        <v>4.4000000000000004</v>
      </c>
      <c r="F46" s="160">
        <v>4.45</v>
      </c>
      <c r="G46" s="162">
        <v>49</v>
      </c>
      <c r="H46" s="270">
        <f t="shared" si="5"/>
        <v>11.024111997536089</v>
      </c>
      <c r="I46" s="267">
        <f t="shared" si="5"/>
        <v>31.044943026591199</v>
      </c>
      <c r="J46" s="270">
        <f t="shared" si="6"/>
        <v>3.7728932771345827</v>
      </c>
      <c r="K46" s="270">
        <f t="shared" si="6"/>
        <v>8.3064797509451669</v>
      </c>
      <c r="L46" s="304">
        <v>1.2</v>
      </c>
      <c r="M46" s="304">
        <v>1.2</v>
      </c>
      <c r="N46" s="305">
        <f>G46*((H46-I46)-$F$42*(J46-K46))</f>
        <v>65662.700444591886</v>
      </c>
      <c r="O46" s="158">
        <f>+(I46-H46)*G46</f>
        <v>981.02072042370037</v>
      </c>
    </row>
    <row r="47" spans="2:15" ht="13.5" thickBot="1">
      <c r="B47" s="236"/>
      <c r="C47" s="306"/>
      <c r="D47" s="17"/>
      <c r="E47" s="17"/>
      <c r="F47" s="17"/>
      <c r="G47" s="17"/>
      <c r="H47" s="17"/>
      <c r="I47" s="17"/>
      <c r="J47" s="17"/>
      <c r="K47" s="17"/>
      <c r="L47" s="17"/>
      <c r="M47" s="307"/>
      <c r="N47" s="308"/>
      <c r="O47" s="308"/>
    </row>
    <row r="48" spans="2:15" ht="16.5" thickBot="1">
      <c r="B48" s="309" t="s">
        <v>402</v>
      </c>
      <c r="C48" s="310">
        <f>SUM(C42:C46)</f>
        <v>2494.266476960076</v>
      </c>
      <c r="D48" s="17"/>
      <c r="E48" s="17"/>
      <c r="F48" s="17"/>
      <c r="G48" s="17"/>
      <c r="H48" s="17"/>
      <c r="I48" s="17"/>
      <c r="J48" s="17"/>
      <c r="K48" s="17"/>
      <c r="L48" s="17"/>
      <c r="M48" s="307"/>
      <c r="N48" s="308"/>
      <c r="O48" s="308"/>
    </row>
    <row r="49" spans="2:15" ht="15.75">
      <c r="B49" s="247"/>
      <c r="C49" s="248"/>
      <c r="D49" s="17"/>
      <c r="E49" s="17"/>
      <c r="F49" s="17"/>
      <c r="G49" s="17"/>
      <c r="H49" s="17"/>
      <c r="I49" s="17"/>
      <c r="J49" s="17"/>
      <c r="K49" s="17"/>
      <c r="L49" s="17"/>
      <c r="M49" s="307"/>
      <c r="N49" s="308"/>
      <c r="O49" s="308"/>
    </row>
    <row r="50" spans="2:15" ht="15.75">
      <c r="B50" s="243"/>
      <c r="C50" s="311"/>
      <c r="D50" s="237"/>
      <c r="E50" s="237"/>
      <c r="F50" s="237"/>
      <c r="G50" s="237"/>
      <c r="H50" s="237"/>
      <c r="I50" s="237"/>
      <c r="J50" s="237"/>
      <c r="K50" s="237"/>
      <c r="L50" s="237"/>
      <c r="M50" s="249"/>
      <c r="N50" s="239"/>
      <c r="O50" s="239"/>
    </row>
    <row r="51" spans="2:15" ht="51">
      <c r="B51" s="237"/>
      <c r="C51" s="243"/>
      <c r="D51" s="312" t="s">
        <v>403</v>
      </c>
      <c r="E51" s="313" t="s">
        <v>404</v>
      </c>
      <c r="F51" s="312" t="s">
        <v>405</v>
      </c>
      <c r="G51" s="314" t="s">
        <v>406</v>
      </c>
      <c r="H51" s="239"/>
      <c r="I51" s="239"/>
      <c r="J51" s="239"/>
      <c r="K51" s="239"/>
      <c r="L51" s="237"/>
      <c r="M51" s="237"/>
      <c r="N51" s="249"/>
      <c r="O51" s="243"/>
    </row>
    <row r="52" spans="2:15">
      <c r="B52" s="237"/>
      <c r="C52" s="243"/>
      <c r="D52" s="315" t="s">
        <v>407</v>
      </c>
      <c r="E52" s="315" t="s">
        <v>408</v>
      </c>
      <c r="F52" s="315" t="s">
        <v>409</v>
      </c>
      <c r="G52" s="315" t="s">
        <v>410</v>
      </c>
      <c r="H52" s="239"/>
      <c r="I52" s="239"/>
      <c r="J52" s="239"/>
      <c r="K52" s="239"/>
      <c r="L52" s="240"/>
      <c r="M52" s="240"/>
      <c r="N52" s="249"/>
      <c r="O52" s="243"/>
    </row>
    <row r="53" spans="2:15">
      <c r="B53" s="316"/>
      <c r="C53" s="243"/>
      <c r="D53" s="317">
        <f>G45</f>
        <v>0.35</v>
      </c>
      <c r="E53" s="318">
        <f>[10]!HeCalc(3,0,2,4.49,43,0,1)</f>
        <v>119.15858637704481</v>
      </c>
      <c r="F53" s="318">
        <f>D53/(E53/1000)*3.6</f>
        <v>10.574143570427012</v>
      </c>
      <c r="G53" s="319">
        <f>C45</f>
        <v>35.350835653927973</v>
      </c>
      <c r="H53" s="239"/>
      <c r="I53" s="239"/>
      <c r="J53" s="239"/>
      <c r="K53" s="239"/>
      <c r="L53" s="240"/>
      <c r="M53" s="240"/>
      <c r="N53" s="249"/>
      <c r="O53" s="243"/>
    </row>
    <row r="54" spans="2:15">
      <c r="B54" s="237"/>
      <c r="C54" s="243"/>
      <c r="D54" s="243"/>
      <c r="E54" s="243"/>
      <c r="F54" s="243"/>
      <c r="G54" s="237"/>
      <c r="H54" s="237"/>
      <c r="I54" s="237"/>
      <c r="J54" s="237"/>
      <c r="K54" s="237" t="s">
        <v>411</v>
      </c>
      <c r="L54" s="237">
        <v>300</v>
      </c>
      <c r="M54" s="249" t="s">
        <v>96</v>
      </c>
      <c r="N54" s="239"/>
      <c r="O54" s="243"/>
    </row>
    <row r="55" spans="2:15">
      <c r="B55" s="237"/>
      <c r="C55" s="243"/>
      <c r="D55" s="243"/>
      <c r="E55" s="243"/>
      <c r="F55" s="243"/>
      <c r="G55" s="252"/>
      <c r="H55" s="255"/>
      <c r="I55" s="255"/>
      <c r="J55" s="255"/>
      <c r="K55" s="255" t="s">
        <v>412</v>
      </c>
      <c r="L55" s="256">
        <v>50</v>
      </c>
      <c r="M55" s="256" t="s">
        <v>96</v>
      </c>
      <c r="N55" s="252"/>
      <c r="O55" s="243"/>
    </row>
    <row r="56" spans="2:15">
      <c r="B56" s="237"/>
      <c r="C56" s="243"/>
      <c r="D56" s="243"/>
      <c r="E56" s="243"/>
      <c r="F56" s="243"/>
      <c r="G56" s="249"/>
      <c r="H56" s="239"/>
      <c r="I56" s="239"/>
      <c r="J56" s="239"/>
      <c r="K56" s="239" t="s">
        <v>413</v>
      </c>
      <c r="L56" s="237">
        <f>L54-L55</f>
        <v>250</v>
      </c>
      <c r="M56" s="237" t="s">
        <v>96</v>
      </c>
      <c r="N56" s="249"/>
      <c r="O56" s="243"/>
    </row>
    <row r="57" spans="2:15">
      <c r="B57" s="237"/>
      <c r="C57" s="243"/>
      <c r="D57" s="243"/>
      <c r="E57" s="243"/>
      <c r="F57" s="243"/>
      <c r="G57" s="249"/>
      <c r="H57" s="239"/>
      <c r="I57" s="239"/>
      <c r="J57" s="239"/>
      <c r="K57" s="239" t="s">
        <v>316</v>
      </c>
      <c r="L57" s="144">
        <v>40</v>
      </c>
      <c r="M57" s="240" t="s">
        <v>86</v>
      </c>
      <c r="N57" s="249"/>
      <c r="O57" s="243"/>
    </row>
    <row r="58" spans="2:15">
      <c r="B58" s="237"/>
      <c r="C58" s="243"/>
      <c r="D58" s="243"/>
      <c r="E58" s="243"/>
      <c r="F58" s="243"/>
      <c r="G58" s="320"/>
      <c r="H58" s="239"/>
      <c r="I58" s="239"/>
      <c r="J58" s="239"/>
      <c r="K58" s="239" t="s">
        <v>146</v>
      </c>
      <c r="L58" s="144">
        <v>5.0199999999999996</v>
      </c>
      <c r="M58" s="240"/>
      <c r="N58" s="249"/>
      <c r="O58" s="242"/>
    </row>
    <row r="59" spans="2:15">
      <c r="B59" s="237"/>
      <c r="C59" s="249"/>
      <c r="D59" s="237"/>
      <c r="E59" s="321"/>
      <c r="F59" s="322"/>
      <c r="G59" s="320"/>
      <c r="H59" s="239"/>
      <c r="I59" s="239"/>
      <c r="J59" s="239"/>
      <c r="K59" s="239"/>
      <c r="L59" s="144">
        <f>L57*L58*L56</f>
        <v>50199.999999999993</v>
      </c>
      <c r="M59" s="240"/>
      <c r="N59" s="249"/>
      <c r="O59" s="242"/>
    </row>
    <row r="60" spans="2:15">
      <c r="B60" s="237"/>
      <c r="C60" s="249"/>
      <c r="D60" s="237"/>
      <c r="E60" s="321"/>
      <c r="F60" s="321"/>
      <c r="G60" s="323"/>
      <c r="H60" s="239"/>
      <c r="I60" s="239"/>
      <c r="J60" s="239"/>
      <c r="K60" s="239"/>
      <c r="L60" s="240"/>
      <c r="M60" s="240"/>
      <c r="N60" s="249"/>
      <c r="O60" s="242"/>
    </row>
  </sheetData>
  <phoneticPr fontId="0" type="noConversion"/>
  <pageMargins left="0.75" right="0.75" top="1" bottom="1" header="0.4921259845" footer="0.4921259845"/>
  <pageSetup paperSize="9" scale="7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Feuil7"/>
  <dimension ref="A5:AF47"/>
  <sheetViews>
    <sheetView workbookViewId="0">
      <selection activeCell="F31" sqref="F31"/>
    </sheetView>
  </sheetViews>
  <sheetFormatPr defaultColWidth="11.42578125" defaultRowHeight="12.75"/>
  <cols>
    <col min="1" max="1" width="11.42578125" customWidth="1"/>
    <col min="2" max="2" width="21.28515625" bestFit="1" customWidth="1"/>
    <col min="3" max="3" width="11.42578125" customWidth="1"/>
    <col min="4" max="4" width="13.5703125" bestFit="1" customWidth="1"/>
    <col min="5" max="5" width="12.42578125" bestFit="1" customWidth="1"/>
    <col min="6" max="10" width="11.42578125" customWidth="1"/>
    <col min="11" max="12" width="11.5703125" bestFit="1" customWidth="1"/>
    <col min="13" max="16" width="11.42578125" customWidth="1"/>
    <col min="17" max="17" width="13.5703125" bestFit="1" customWidth="1"/>
    <col min="18" max="20" width="11.42578125" customWidth="1"/>
    <col min="21" max="22" width="11.42578125" style="17" customWidth="1"/>
    <col min="23" max="23" width="11.5703125" bestFit="1" customWidth="1"/>
  </cols>
  <sheetData>
    <row r="5" spans="2:7">
      <c r="B5" s="97" t="s">
        <v>210</v>
      </c>
      <c r="C5" s="98">
        <v>35.5</v>
      </c>
      <c r="D5" s="97" t="s">
        <v>86</v>
      </c>
      <c r="F5" s="99" t="s">
        <v>211</v>
      </c>
      <c r="G5" s="100">
        <v>-0.19543252</v>
      </c>
    </row>
    <row r="6" spans="2:7">
      <c r="B6" s="101" t="s">
        <v>212</v>
      </c>
      <c r="C6" s="98">
        <v>16</v>
      </c>
      <c r="D6" s="101" t="s">
        <v>213</v>
      </c>
      <c r="F6" s="99" t="s">
        <v>214</v>
      </c>
      <c r="G6" s="100">
        <f>[9]!g_(11,C6,C7)</f>
        <v>1.9332248593946404</v>
      </c>
    </row>
    <row r="7" spans="2:7">
      <c r="B7" s="101" t="s">
        <v>215</v>
      </c>
      <c r="C7" s="102">
        <v>18.399999999999999</v>
      </c>
      <c r="D7" s="101" t="s">
        <v>96</v>
      </c>
      <c r="F7" s="17" t="s">
        <v>216</v>
      </c>
      <c r="G7" s="100">
        <f>[9]!Z_(11,C6,C7)</f>
        <v>0.99949500581222972</v>
      </c>
    </row>
    <row r="8" spans="2:7">
      <c r="B8" s="101" t="s">
        <v>217</v>
      </c>
      <c r="C8" s="98">
        <v>1.24</v>
      </c>
      <c r="D8" s="101" t="s">
        <v>213</v>
      </c>
      <c r="F8" s="17" t="s">
        <v>146</v>
      </c>
      <c r="G8" s="103">
        <f>[9]!cp_(11,C6,C7)</f>
        <v>6.1212857804214593</v>
      </c>
    </row>
    <row r="9" spans="2:7">
      <c r="B9" s="101" t="s">
        <v>218</v>
      </c>
      <c r="C9" s="104">
        <f>C7-1.359*C12/(C5*G8)</f>
        <v>9.1301457914014623</v>
      </c>
      <c r="D9" s="101" t="s">
        <v>96</v>
      </c>
      <c r="E9" s="105"/>
      <c r="F9" s="17" t="s">
        <v>219</v>
      </c>
      <c r="G9" s="106">
        <v>5.5539999999999996E-10</v>
      </c>
    </row>
    <row r="10" spans="2:7">
      <c r="B10" s="101" t="s">
        <v>220</v>
      </c>
      <c r="C10" s="107">
        <f>0.523*C5*G8/G9/G15^2*(2*C7/(G6+1)-C8/(G7*G11/G12*C7))/2/PI()/(-0.00003*C7^3+0.0023*C7^2-0.0502*C7+1.2977)</f>
        <v>2204.0116104256967</v>
      </c>
      <c r="D10" s="101" t="s">
        <v>221</v>
      </c>
      <c r="F10" s="17" t="s">
        <v>222</v>
      </c>
      <c r="G10" s="108">
        <v>1.0699999999999999E-2</v>
      </c>
    </row>
    <row r="11" spans="2:7">
      <c r="B11" s="101" t="s">
        <v>223</v>
      </c>
      <c r="C11" s="98">
        <f>45+28.7*EXP(-(G16-1)^2/G5)</f>
        <v>73.548151897451547</v>
      </c>
      <c r="D11" s="101" t="s">
        <v>209</v>
      </c>
      <c r="F11" s="17" t="s">
        <v>224</v>
      </c>
      <c r="G11" s="100">
        <v>8.3144720000000003</v>
      </c>
    </row>
    <row r="12" spans="2:7">
      <c r="B12" s="101" t="s">
        <v>225</v>
      </c>
      <c r="C12" s="109">
        <f>0.667*C11/100*C5*G8*C7*(G6-1)/(G6+1)+0.428*C11/100*C5*G8*(2*C7/(G6+1)-C8/(G7*G11/G12*C7))</f>
        <v>1482.2602279289445</v>
      </c>
      <c r="D12" s="101" t="s">
        <v>226</v>
      </c>
      <c r="F12" s="17" t="s">
        <v>227</v>
      </c>
      <c r="G12" s="100">
        <v>4.0026000000000003E-3</v>
      </c>
    </row>
    <row r="13" spans="2:7">
      <c r="B13" s="101" t="s">
        <v>228</v>
      </c>
      <c r="C13" s="110">
        <f>C5*SQRT(G7*C7)/C6</f>
        <v>9.5149737855527352</v>
      </c>
      <c r="D13" s="103" t="s">
        <v>229</v>
      </c>
      <c r="F13" s="17" t="s">
        <v>230</v>
      </c>
      <c r="G13" s="105">
        <v>2.4399999999999999E-6</v>
      </c>
    </row>
    <row r="14" spans="2:7" ht="15.75">
      <c r="B14" s="101"/>
      <c r="C14" s="110"/>
      <c r="D14" s="103"/>
      <c r="F14" s="111" t="s">
        <v>237</v>
      </c>
      <c r="G14" s="112">
        <v>2205</v>
      </c>
    </row>
    <row r="15" spans="2:7" ht="15.75">
      <c r="F15" s="99" t="s">
        <v>238</v>
      </c>
      <c r="G15" s="112">
        <f>2*PI()*G14</f>
        <v>13854.423602330988</v>
      </c>
    </row>
    <row r="16" spans="2:7">
      <c r="F16" s="99" t="s">
        <v>85</v>
      </c>
      <c r="G16" s="112">
        <f>G10*2*PI()*G14/0.64/SQRT(G6*G7*G11/G12*C7*2/(G6+1))</f>
        <v>1.0321986654896635</v>
      </c>
    </row>
    <row r="17" spans="1:32">
      <c r="D17" s="113"/>
    </row>
    <row r="18" spans="1:32">
      <c r="C18" s="114"/>
      <c r="D18" s="115"/>
    </row>
    <row r="19" spans="1:32">
      <c r="C19" s="114"/>
      <c r="D19" s="115"/>
    </row>
    <row r="20" spans="1:32">
      <c r="C20" s="114"/>
      <c r="D20" s="115"/>
    </row>
    <row r="21" spans="1:32">
      <c r="C21" s="48"/>
      <c r="D21" s="113"/>
    </row>
    <row r="22" spans="1:32" ht="11.25" customHeight="1">
      <c r="F22" s="116"/>
      <c r="G22" s="117"/>
    </row>
    <row r="23" spans="1:32">
      <c r="F23" s="116"/>
      <c r="G23" s="117"/>
      <c r="Q23" s="118"/>
      <c r="AE23" s="118"/>
    </row>
    <row r="24" spans="1:32">
      <c r="C24" s="17" t="s">
        <v>231</v>
      </c>
      <c r="D24" s="17" t="s">
        <v>239</v>
      </c>
      <c r="E24" s="99" t="s">
        <v>214</v>
      </c>
      <c r="F24" s="17" t="s">
        <v>216</v>
      </c>
      <c r="G24" s="17" t="s">
        <v>146</v>
      </c>
      <c r="H24" s="17" t="s">
        <v>232</v>
      </c>
      <c r="I24" s="99" t="s">
        <v>85</v>
      </c>
      <c r="J24" s="17" t="s">
        <v>233</v>
      </c>
      <c r="K24" s="17" t="s">
        <v>234</v>
      </c>
      <c r="L24" s="17" t="s">
        <v>235</v>
      </c>
      <c r="M24" s="17" t="s">
        <v>236</v>
      </c>
      <c r="O24" s="17"/>
      <c r="P24" s="17"/>
      <c r="Q24" s="17"/>
      <c r="R24" s="17"/>
      <c r="S24" s="17"/>
      <c r="T24" s="17"/>
      <c r="W24" s="17"/>
      <c r="X24" s="17"/>
      <c r="Y24" s="17"/>
      <c r="Z24" s="17"/>
      <c r="AA24" s="17"/>
      <c r="AB24" s="17"/>
      <c r="AC24" s="17"/>
      <c r="AD24" s="17"/>
      <c r="AF24" s="17"/>
    </row>
    <row r="25" spans="1:32">
      <c r="A25" s="119"/>
      <c r="B25" s="119"/>
      <c r="C25" s="17">
        <v>300</v>
      </c>
      <c r="D25" s="120">
        <v>14.430759882979357</v>
      </c>
      <c r="E25" s="120">
        <f>[9]!g_(11,D25,C25)</f>
        <v>1.6649444546921479</v>
      </c>
      <c r="F25" s="48">
        <f>[9]!Z_(11,D25,C25)</f>
        <v>1.0065927467751326</v>
      </c>
      <c r="G25" s="120">
        <f>[9]!cp_(11,D25,C25)</f>
        <v>5.1919938253225411</v>
      </c>
      <c r="H25" s="114">
        <f t="shared" ref="H25:H47" si="0">$C$13*D25/SQRT(F25*C25)</f>
        <v>7.9014950220002333</v>
      </c>
      <c r="I25" s="48">
        <f>$G$10*2*PI()*L25/0.64/SQRT(E25*F25*$G$11/$G$12*C25*2/(E25+1))</f>
        <v>-1.3874164430485131E-3</v>
      </c>
      <c r="J25" s="120">
        <f t="shared" ref="J25:J47" si="1">45+28.7*EXP(-(I25-1)^2/$G$5)</f>
        <v>45.169624717526119</v>
      </c>
      <c r="K25" s="120">
        <f t="shared" ref="K25:K47" si="2">J25/100*H25*(0.667*G25*C25*(E25-1)/(E25+1))+0.428*J25/100*H25*G25*(2*C25/(E25+1)-$C$8/(F25*$G$11/$G$12*C25))</f>
        <v>2710.8487952033861</v>
      </c>
      <c r="L25" s="114">
        <f t="shared" ref="L25:L47" si="3">0.523*H25*G25/$G$9/$G$15^2*(2*C25/(E25+1)-$C$8/(F25*$G$11/$G$12*C25))/2/PI()/(-0.00003*C25^3+0.0023*C25^2-0.0502*C25+1.2977)</f>
        <v>-11.693047790265668</v>
      </c>
      <c r="M25" s="120">
        <f t="shared" ref="M25:M47" si="4">C25-1.359*K25/(H25*G25)</f>
        <v>210.19897104201448</v>
      </c>
      <c r="O25" s="114"/>
      <c r="P25" s="114"/>
      <c r="Q25" s="114"/>
      <c r="R25" s="114"/>
      <c r="S25" s="114"/>
      <c r="T25" s="114"/>
      <c r="U25" s="120"/>
      <c r="V25" s="114"/>
      <c r="W25" s="121"/>
      <c r="X25" s="114"/>
      <c r="Z25" s="114"/>
    </row>
    <row r="26" spans="1:32">
      <c r="A26" s="119"/>
      <c r="B26" s="119"/>
      <c r="C26" s="17">
        <f t="shared" ref="C26:C36" si="5">C25-1</f>
        <v>299</v>
      </c>
      <c r="D26" s="120">
        <v>14.544852569053996</v>
      </c>
      <c r="E26" s="120">
        <f t="shared" ref="E26:E47" si="6">[9]!g_(11,D26,C26)</f>
        <v>1.6649260590541624</v>
      </c>
      <c r="F26" s="48">
        <f t="shared" ref="F26:F47" si="7">[9]!Z_(11,D26,C26)</f>
        <v>1.0066701961273381</v>
      </c>
      <c r="G26" s="120">
        <f t="shared" ref="G26:G47" si="8">[9]!cp_(11,D26,C26)</f>
        <v>5.1919915729670612</v>
      </c>
      <c r="H26" s="114">
        <f t="shared" si="0"/>
        <v>7.9769656140704512</v>
      </c>
      <c r="I26" s="48">
        <f t="shared" ref="I26:I47" si="9">$G$10*2*PI()*L26/0.64/SQRT(E26*F26*$G$11/$G$12*C26*2/(E26+1))</f>
        <v>-1.413752222739022E-3</v>
      </c>
      <c r="J26" s="120">
        <f t="shared" si="1"/>
        <v>45.169578943647103</v>
      </c>
      <c r="K26" s="120">
        <f t="shared" si="2"/>
        <v>2727.6079389732959</v>
      </c>
      <c r="L26" s="114">
        <f t="shared" si="3"/>
        <v>-11.895561915012832</v>
      </c>
      <c r="M26" s="120">
        <f t="shared" si="4"/>
        <v>209.4986257587945</v>
      </c>
      <c r="O26" s="114"/>
      <c r="P26" s="114"/>
      <c r="Q26" s="114"/>
      <c r="R26" s="114"/>
      <c r="S26" s="114"/>
      <c r="T26" s="114"/>
      <c r="U26" s="120"/>
      <c r="V26" s="114"/>
      <c r="W26" s="121"/>
      <c r="X26" s="114"/>
      <c r="Z26" s="114"/>
    </row>
    <row r="27" spans="1:32">
      <c r="A27" s="119"/>
      <c r="B27" s="119"/>
      <c r="C27" s="17">
        <f t="shared" si="5"/>
        <v>298</v>
      </c>
      <c r="D27" s="120">
        <v>14.655058059616071</v>
      </c>
      <c r="E27" s="120">
        <f t="shared" si="6"/>
        <v>1.6649080350564915</v>
      </c>
      <c r="F27" s="48">
        <f t="shared" si="7"/>
        <v>1.0067464253012279</v>
      </c>
      <c r="G27" s="120">
        <f t="shared" si="8"/>
        <v>5.1919898219899396</v>
      </c>
      <c r="H27" s="114">
        <f t="shared" si="0"/>
        <v>8.0505760939598474</v>
      </c>
      <c r="I27" s="48">
        <f t="shared" si="9"/>
        <v>-1.4401775249711474E-3</v>
      </c>
      <c r="J27" s="120">
        <f t="shared" si="1"/>
        <v>45.169533025375962</v>
      </c>
      <c r="K27" s="120">
        <f t="shared" si="2"/>
        <v>2743.5608219724281</v>
      </c>
      <c r="L27" s="114">
        <f t="shared" si="3"/>
        <v>-12.098061519642515</v>
      </c>
      <c r="M27" s="120">
        <f t="shared" si="4"/>
        <v>208.79827406083962</v>
      </c>
      <c r="O27" s="114"/>
      <c r="P27" s="114"/>
      <c r="Q27" s="114"/>
      <c r="R27" s="114"/>
      <c r="S27" s="114"/>
      <c r="T27" s="114"/>
      <c r="U27" s="120"/>
      <c r="V27" s="114"/>
      <c r="W27" s="121"/>
      <c r="X27" s="114"/>
      <c r="Z27" s="114"/>
    </row>
    <row r="28" spans="1:32">
      <c r="A28" s="119"/>
      <c r="B28" s="119"/>
      <c r="C28" s="17">
        <f t="shared" si="5"/>
        <v>297</v>
      </c>
      <c r="D28" s="120">
        <v>14.763676969561578</v>
      </c>
      <c r="E28" s="120">
        <f t="shared" si="6"/>
        <v>1.6648901129211318</v>
      </c>
      <c r="F28" s="48">
        <f t="shared" si="7"/>
        <v>1.0068224848585221</v>
      </c>
      <c r="G28" s="120">
        <f t="shared" si="8"/>
        <v>5.1919884106350906</v>
      </c>
      <c r="H28" s="114">
        <f t="shared" si="0"/>
        <v>8.1235798325024913</v>
      </c>
      <c r="I28" s="48">
        <f t="shared" si="9"/>
        <v>-1.4669165870235714E-3</v>
      </c>
      <c r="J28" s="120">
        <f t="shared" si="1"/>
        <v>45.169486573319105</v>
      </c>
      <c r="K28" s="120">
        <f t="shared" si="2"/>
        <v>2759.139331647335</v>
      </c>
      <c r="L28" s="114">
        <f t="shared" si="3"/>
        <v>-12.302427067563265</v>
      </c>
      <c r="M28" s="120">
        <f t="shared" si="4"/>
        <v>208.09792006806873</v>
      </c>
      <c r="O28" s="114"/>
      <c r="P28" s="114"/>
      <c r="Q28" s="114"/>
      <c r="R28" s="114"/>
      <c r="S28" s="114"/>
      <c r="T28" s="114"/>
      <c r="U28" s="120"/>
      <c r="V28" s="114"/>
      <c r="W28" s="121"/>
      <c r="X28" s="114"/>
      <c r="Z28" s="114"/>
    </row>
    <row r="29" spans="1:32">
      <c r="A29" s="119"/>
      <c r="B29" s="119"/>
      <c r="C29" s="17">
        <f t="shared" si="5"/>
        <v>296</v>
      </c>
      <c r="D29" s="120">
        <v>14.873101620957407</v>
      </c>
      <c r="E29" s="120">
        <f t="shared" si="6"/>
        <v>1.6648720091668869</v>
      </c>
      <c r="F29" s="48">
        <f t="shared" si="7"/>
        <v>1.0068994841515588</v>
      </c>
      <c r="G29" s="120">
        <f t="shared" si="8"/>
        <v>5.1919871751921551</v>
      </c>
      <c r="H29" s="114">
        <f t="shared" si="0"/>
        <v>8.1972886230895536</v>
      </c>
      <c r="I29" s="48">
        <f t="shared" si="9"/>
        <v>-1.4942126959220682E-3</v>
      </c>
      <c r="J29" s="120">
        <f t="shared" si="1"/>
        <v>45.169439165390074</v>
      </c>
      <c r="K29" s="120">
        <f t="shared" si="2"/>
        <v>2774.7893782273286</v>
      </c>
      <c r="L29" s="114">
        <f t="shared" si="3"/>
        <v>-12.510686832638262</v>
      </c>
      <c r="M29" s="120">
        <f t="shared" si="4"/>
        <v>207.39756807737365</v>
      </c>
      <c r="O29" s="114"/>
      <c r="P29" s="114"/>
      <c r="Q29" s="114"/>
      <c r="R29" s="114"/>
      <c r="S29" s="114"/>
      <c r="T29" s="114"/>
      <c r="U29" s="120"/>
      <c r="V29" s="114"/>
      <c r="W29" s="121"/>
      <c r="X29" s="114"/>
      <c r="Z29" s="114"/>
    </row>
    <row r="30" spans="1:32">
      <c r="A30" s="119"/>
      <c r="B30" s="119"/>
      <c r="C30" s="17">
        <f t="shared" si="5"/>
        <v>295</v>
      </c>
      <c r="D30" s="120">
        <v>14.985814613994446</v>
      </c>
      <c r="E30" s="120">
        <f t="shared" si="6"/>
        <v>1.6648534266245301</v>
      </c>
      <c r="F30" s="48">
        <f t="shared" si="7"/>
        <v>1.0069785917575318</v>
      </c>
      <c r="G30" s="120">
        <f t="shared" si="8"/>
        <v>5.1919859505452477</v>
      </c>
      <c r="H30" s="114">
        <f t="shared" si="0"/>
        <v>8.273072401572648</v>
      </c>
      <c r="I30" s="48">
        <f t="shared" si="9"/>
        <v>-1.5223289187387995E-3</v>
      </c>
      <c r="J30" s="120">
        <f t="shared" si="1"/>
        <v>45.169390345599673</v>
      </c>
      <c r="K30" s="120">
        <f t="shared" si="2"/>
        <v>2790.9704661374872</v>
      </c>
      <c r="L30" s="114">
        <f t="shared" si="3"/>
        <v>-12.725021677830929</v>
      </c>
      <c r="M30" s="120">
        <f t="shared" si="4"/>
        <v>206.69722256089273</v>
      </c>
      <c r="O30" s="114"/>
      <c r="P30" s="114"/>
      <c r="Q30" s="114"/>
      <c r="R30" s="114"/>
      <c r="S30" s="114"/>
      <c r="T30" s="114"/>
      <c r="U30" s="120"/>
      <c r="V30" s="114"/>
      <c r="W30" s="121"/>
      <c r="X30" s="114"/>
      <c r="Z30" s="114"/>
    </row>
    <row r="31" spans="1:32">
      <c r="A31" s="119"/>
      <c r="B31" s="119"/>
      <c r="C31" s="17">
        <f t="shared" si="5"/>
        <v>294</v>
      </c>
      <c r="D31" s="120">
        <v>15.104385955218516</v>
      </c>
      <c r="E31" s="120">
        <f t="shared" si="6"/>
        <v>1.6648340546404652</v>
      </c>
      <c r="F31" s="48">
        <f t="shared" si="7"/>
        <v>1.0070610352489191</v>
      </c>
      <c r="G31" s="120">
        <f t="shared" si="8"/>
        <v>5.191984570859101</v>
      </c>
      <c r="H31" s="114">
        <f t="shared" si="0"/>
        <v>8.352358155547897</v>
      </c>
      <c r="I31" s="48">
        <f t="shared" si="9"/>
        <v>-1.5515487071481686E-3</v>
      </c>
      <c r="J31" s="120">
        <f t="shared" si="1"/>
        <v>45.169339623079324</v>
      </c>
      <c r="K31" s="120">
        <f t="shared" si="2"/>
        <v>2808.1549942297961</v>
      </c>
      <c r="L31" s="114">
        <f t="shared" si="3"/>
        <v>-12.947768737260693</v>
      </c>
      <c r="M31" s="120">
        <f t="shared" si="4"/>
        <v>205.99688816150308</v>
      </c>
      <c r="O31" s="114"/>
      <c r="P31" s="114"/>
      <c r="Q31" s="114"/>
      <c r="R31" s="114"/>
      <c r="S31" s="114"/>
      <c r="T31" s="114"/>
      <c r="U31" s="120"/>
      <c r="V31" s="114"/>
      <c r="W31" s="121"/>
      <c r="X31" s="114"/>
      <c r="Z31" s="114"/>
    </row>
    <row r="32" spans="1:32">
      <c r="A32" s="119"/>
      <c r="B32" s="119"/>
      <c r="C32" s="17">
        <f t="shared" si="5"/>
        <v>293</v>
      </c>
      <c r="D32" s="120">
        <v>15.231469985475488</v>
      </c>
      <c r="E32" s="120">
        <f t="shared" si="6"/>
        <v>1.6648135693255874</v>
      </c>
      <c r="F32" s="48">
        <f t="shared" si="7"/>
        <v>1.0071481008666789</v>
      </c>
      <c r="G32" s="120">
        <f t="shared" si="8"/>
        <v>5.1919828703171396</v>
      </c>
      <c r="H32" s="114">
        <f t="shared" si="0"/>
        <v>8.4366286971849416</v>
      </c>
      <c r="I32" s="48">
        <f t="shared" si="9"/>
        <v>-1.5821764927859984E-3</v>
      </c>
      <c r="J32" s="120">
        <f t="shared" si="1"/>
        <v>45.169286471137944</v>
      </c>
      <c r="K32" s="120">
        <f t="shared" si="2"/>
        <v>2826.8275170276779</v>
      </c>
      <c r="L32" s="114">
        <f t="shared" si="3"/>
        <v>-13.181424992504677</v>
      </c>
      <c r="M32" s="120">
        <f t="shared" si="4"/>
        <v>205.29656968771977</v>
      </c>
      <c r="O32" s="114"/>
      <c r="P32" s="114"/>
      <c r="Q32" s="114"/>
      <c r="R32" s="114"/>
      <c r="S32" s="114"/>
      <c r="T32" s="114"/>
      <c r="U32" s="120"/>
      <c r="V32" s="114"/>
      <c r="W32" s="121"/>
      <c r="X32" s="114"/>
      <c r="Z32" s="114"/>
    </row>
    <row r="33" spans="1:32">
      <c r="A33" s="119"/>
      <c r="B33" s="119"/>
      <c r="C33" s="17">
        <f t="shared" si="5"/>
        <v>292</v>
      </c>
      <c r="D33" s="120">
        <v>15.369805610081299</v>
      </c>
      <c r="E33" s="120">
        <f t="shared" si="6"/>
        <v>1.6647916334313906</v>
      </c>
      <c r="F33" s="48">
        <f t="shared" si="7"/>
        <v>1.0072411347473249</v>
      </c>
      <c r="G33" s="120">
        <f t="shared" si="8"/>
        <v>5.1919806836783913</v>
      </c>
      <c r="H33" s="114">
        <f t="shared" si="0"/>
        <v>8.5274232318742946</v>
      </c>
      <c r="I33" s="48">
        <f t="shared" si="9"/>
        <v>-1.6145386365718204E-3</v>
      </c>
      <c r="J33" s="120">
        <f t="shared" si="1"/>
        <v>45.169230325725877</v>
      </c>
      <c r="K33" s="120">
        <f t="shared" si="2"/>
        <v>2847.4846128966369</v>
      </c>
      <c r="L33" s="114">
        <f t="shared" si="3"/>
        <v>-13.428653779907044</v>
      </c>
      <c r="M33" s="120">
        <f t="shared" si="4"/>
        <v>204.59627211427278</v>
      </c>
      <c r="O33" s="114"/>
      <c r="P33" s="114"/>
      <c r="Q33" s="114"/>
      <c r="R33" s="114"/>
      <c r="S33" s="114"/>
      <c r="T33" s="114"/>
      <c r="U33" s="120"/>
      <c r="V33" s="114"/>
      <c r="W33" s="121"/>
      <c r="X33" s="114"/>
      <c r="Z33" s="114"/>
    </row>
    <row r="34" spans="1:32">
      <c r="A34" s="119"/>
      <c r="B34" s="119"/>
      <c r="C34" s="17">
        <f t="shared" si="5"/>
        <v>291</v>
      </c>
      <c r="D34" s="120">
        <v>15.5222285289473</v>
      </c>
      <c r="E34" s="120">
        <f t="shared" si="6"/>
        <v>1.6647678948009292</v>
      </c>
      <c r="F34" s="48">
        <f t="shared" si="7"/>
        <v>1.0073415498686367</v>
      </c>
      <c r="G34" s="120">
        <f t="shared" si="8"/>
        <v>5.1919778460877835</v>
      </c>
      <c r="H34" s="114">
        <f t="shared" si="0"/>
        <v>8.6263445566039927</v>
      </c>
      <c r="I34" s="48">
        <f t="shared" si="9"/>
        <v>-1.6489856760439901E-3</v>
      </c>
      <c r="J34" s="120">
        <f t="shared" si="1"/>
        <v>45.169170581674081</v>
      </c>
      <c r="K34" s="120">
        <f t="shared" si="2"/>
        <v>2870.6369524298361</v>
      </c>
      <c r="L34" s="114">
        <f t="shared" si="3"/>
        <v>-13.692302066883611</v>
      </c>
      <c r="M34" s="120">
        <f t="shared" si="4"/>
        <v>203.89600060402893</v>
      </c>
      <c r="O34" s="114"/>
      <c r="P34" s="114"/>
      <c r="Q34" s="114"/>
      <c r="R34" s="114"/>
      <c r="S34" s="114"/>
      <c r="T34" s="114"/>
      <c r="U34" s="120"/>
      <c r="V34" s="114"/>
      <c r="W34" s="121"/>
      <c r="X34" s="114"/>
      <c r="Z34" s="114"/>
    </row>
    <row r="35" spans="1:32">
      <c r="A35" s="119"/>
      <c r="B35" s="119"/>
      <c r="C35" s="17">
        <f t="shared" si="5"/>
        <v>290</v>
      </c>
      <c r="D35" s="120">
        <v>15.691715484272706</v>
      </c>
      <c r="E35" s="120">
        <f t="shared" si="6"/>
        <v>1.6647419809544055</v>
      </c>
      <c r="F35" s="48">
        <f t="shared" si="7"/>
        <v>1.0074508483950677</v>
      </c>
      <c r="G35" s="120">
        <f t="shared" si="8"/>
        <v>5.1919741908641628</v>
      </c>
      <c r="H35" s="114">
        <f t="shared" si="0"/>
        <v>8.7350840621800643</v>
      </c>
      <c r="I35" s="48">
        <f t="shared" si="9"/>
        <v>-1.6858981067797126E-3</v>
      </c>
      <c r="J35" s="120">
        <f t="shared" si="1"/>
        <v>45.169106582842211</v>
      </c>
      <c r="K35" s="120">
        <f t="shared" si="2"/>
        <v>2896.8172174775473</v>
      </c>
      <c r="L35" s="114">
        <f t="shared" si="3"/>
        <v>-13.975446982276189</v>
      </c>
      <c r="M35" s="120">
        <f t="shared" si="4"/>
        <v>203.19576058741859</v>
      </c>
      <c r="O35" s="114"/>
      <c r="P35" s="114"/>
      <c r="Q35" s="114"/>
      <c r="R35" s="114"/>
      <c r="S35" s="114"/>
      <c r="T35" s="114"/>
      <c r="U35" s="120"/>
      <c r="V35" s="114"/>
      <c r="W35" s="121"/>
      <c r="X35" s="114"/>
      <c r="Z35" s="114"/>
    </row>
    <row r="36" spans="1:32">
      <c r="A36" s="119"/>
      <c r="B36" s="119"/>
      <c r="C36" s="17">
        <f t="shared" si="5"/>
        <v>289</v>
      </c>
      <c r="D36" s="120">
        <v>15.881511584256959</v>
      </c>
      <c r="E36" s="120">
        <f t="shared" si="6"/>
        <v>1.6647134835648454</v>
      </c>
      <c r="F36" s="48">
        <f t="shared" si="7"/>
        <v>1.0075706842353847</v>
      </c>
      <c r="G36" s="120">
        <f t="shared" si="8"/>
        <v>5.1919695420487786</v>
      </c>
      <c r="H36" s="114">
        <f t="shared" si="0"/>
        <v>8.8554930989884593</v>
      </c>
      <c r="I36" s="48">
        <f t="shared" si="9"/>
        <v>-1.7257014818830658E-3</v>
      </c>
      <c r="J36" s="120">
        <f t="shared" si="1"/>
        <v>45.169037596174867</v>
      </c>
      <c r="K36" s="120">
        <f t="shared" si="2"/>
        <v>2926.6031612374622</v>
      </c>
      <c r="L36" s="114">
        <f t="shared" si="3"/>
        <v>-14.281519314934291</v>
      </c>
      <c r="M36" s="120">
        <f t="shared" si="4"/>
        <v>202.49555799170025</v>
      </c>
      <c r="O36" s="114"/>
      <c r="P36" s="114"/>
      <c r="Q36" s="114"/>
      <c r="R36" s="114"/>
      <c r="S36" s="114"/>
      <c r="T36" s="114"/>
      <c r="U36" s="120"/>
      <c r="V36" s="114"/>
      <c r="W36" s="121"/>
      <c r="X36" s="114"/>
      <c r="Z36" s="114"/>
    </row>
    <row r="37" spans="1:32" s="132" customFormat="1">
      <c r="A37" s="122"/>
      <c r="B37" s="119"/>
      <c r="C37" s="123">
        <v>18.399999999999999</v>
      </c>
      <c r="D37" s="123">
        <v>16</v>
      </c>
      <c r="E37" s="120">
        <f t="shared" si="6"/>
        <v>1.9332248593946404</v>
      </c>
      <c r="F37" s="48">
        <f t="shared" si="7"/>
        <v>0.99949500581222972</v>
      </c>
      <c r="G37" s="120">
        <f t="shared" si="8"/>
        <v>6.1212857804214593</v>
      </c>
      <c r="H37" s="126">
        <f t="shared" si="0"/>
        <v>35.5</v>
      </c>
      <c r="I37" s="127">
        <f t="shared" si="9"/>
        <v>1.0317359832222803</v>
      </c>
      <c r="J37" s="128">
        <f t="shared" si="1"/>
        <v>73.552473384083996</v>
      </c>
      <c r="K37" s="128">
        <f t="shared" si="2"/>
        <v>1482.3473214533301</v>
      </c>
      <c r="L37" s="126">
        <f t="shared" si="3"/>
        <v>2204.0116104256967</v>
      </c>
      <c r="M37" s="128">
        <f t="shared" si="4"/>
        <v>9.1296011203252547</v>
      </c>
      <c r="N37" s="119"/>
      <c r="O37" s="129"/>
      <c r="P37" s="129"/>
      <c r="Q37" s="129"/>
      <c r="R37" s="129"/>
      <c r="S37" s="129"/>
      <c r="T37" s="129"/>
      <c r="U37" s="130"/>
      <c r="V37" s="129"/>
      <c r="W37" s="131"/>
      <c r="X37" s="114"/>
      <c r="Y37"/>
      <c r="Z37" s="114"/>
      <c r="AA37"/>
      <c r="AB37"/>
      <c r="AC37"/>
      <c r="AD37"/>
      <c r="AE37"/>
      <c r="AF37"/>
    </row>
    <row r="38" spans="1:32">
      <c r="A38" s="119"/>
      <c r="B38" s="119"/>
      <c r="C38" s="17">
        <v>18</v>
      </c>
      <c r="D38" s="17">
        <v>16</v>
      </c>
      <c r="E38" s="120">
        <f t="shared" si="6"/>
        <v>1.9474735127385383</v>
      </c>
      <c r="F38" s="48">
        <f t="shared" si="7"/>
        <v>0.99559882429430524</v>
      </c>
      <c r="G38" s="120">
        <f t="shared" si="8"/>
        <v>6.1624157293366704</v>
      </c>
      <c r="H38" s="114">
        <f t="shared" si="0"/>
        <v>35.962439036007446</v>
      </c>
      <c r="I38" s="48">
        <f t="shared" si="9"/>
        <v>1.0379908965436417</v>
      </c>
      <c r="J38" s="120">
        <f t="shared" si="1"/>
        <v>73.488825506621566</v>
      </c>
      <c r="K38" s="120">
        <f t="shared" si="2"/>
        <v>1479.9124317400681</v>
      </c>
      <c r="L38" s="114">
        <f t="shared" si="3"/>
        <v>2191.5953830198569</v>
      </c>
      <c r="M38" s="120">
        <f t="shared" si="4"/>
        <v>8.9248180072740162</v>
      </c>
      <c r="O38" s="114"/>
      <c r="P38" s="114"/>
      <c r="Q38" s="114"/>
      <c r="R38" s="114"/>
      <c r="S38" s="114"/>
      <c r="T38" s="114"/>
      <c r="U38" s="120"/>
      <c r="V38" s="114"/>
      <c r="W38" s="121"/>
      <c r="X38" s="114"/>
      <c r="Z38" s="114"/>
    </row>
    <row r="39" spans="1:32">
      <c r="A39" s="119"/>
      <c r="B39" s="119"/>
      <c r="C39" s="17">
        <f t="shared" ref="C39:C47" si="10">C38-0.5</f>
        <v>17.5</v>
      </c>
      <c r="D39" s="17">
        <v>16</v>
      </c>
      <c r="E39" s="120">
        <f t="shared" si="6"/>
        <v>1.9667892860396321</v>
      </c>
      <c r="F39" s="48">
        <f t="shared" si="7"/>
        <v>0.99026231089194472</v>
      </c>
      <c r="G39" s="120">
        <f t="shared" si="8"/>
        <v>6.217559526779187</v>
      </c>
      <c r="H39" s="114">
        <f t="shared" si="0"/>
        <v>36.57071314092898</v>
      </c>
      <c r="I39" s="48">
        <f t="shared" si="9"/>
        <v>1.0460005928661948</v>
      </c>
      <c r="J39" s="120">
        <f t="shared" si="1"/>
        <v>73.390925715558495</v>
      </c>
      <c r="K39" s="120">
        <f t="shared" si="2"/>
        <v>1477.3493740936858</v>
      </c>
      <c r="L39" s="114">
        <f t="shared" si="3"/>
        <v>2175.4004492615563</v>
      </c>
      <c r="M39" s="120">
        <f t="shared" si="4"/>
        <v>8.6702320955393652</v>
      </c>
      <c r="O39" s="114"/>
      <c r="P39" s="114"/>
      <c r="Q39" s="114"/>
      <c r="R39" s="114"/>
      <c r="S39" s="114"/>
      <c r="T39" s="114"/>
      <c r="U39" s="120"/>
      <c r="V39" s="114"/>
      <c r="W39" s="121"/>
      <c r="X39" s="114"/>
      <c r="Z39" s="114"/>
    </row>
    <row r="40" spans="1:32">
      <c r="A40" s="119"/>
      <c r="B40" s="119"/>
      <c r="C40" s="17">
        <f t="shared" si="10"/>
        <v>17</v>
      </c>
      <c r="D40" s="17">
        <v>16</v>
      </c>
      <c r="E40" s="120">
        <f t="shared" si="6"/>
        <v>1.987953399097018</v>
      </c>
      <c r="F40" s="48">
        <f t="shared" si="7"/>
        <v>0.98435485314284199</v>
      </c>
      <c r="G40" s="120">
        <f t="shared" si="8"/>
        <v>6.277187749404626</v>
      </c>
      <c r="H40" s="114">
        <f t="shared" si="0"/>
        <v>37.215792762067814</v>
      </c>
      <c r="I40" s="48">
        <f t="shared" si="9"/>
        <v>1.0542463762087866</v>
      </c>
      <c r="J40" s="120">
        <f t="shared" si="1"/>
        <v>73.271095109858038</v>
      </c>
      <c r="K40" s="120">
        <f t="shared" si="2"/>
        <v>1475.3735176489035</v>
      </c>
      <c r="L40" s="114">
        <f t="shared" si="3"/>
        <v>2158.4211040328005</v>
      </c>
      <c r="M40" s="120">
        <f t="shared" si="4"/>
        <v>8.417198916693506</v>
      </c>
      <c r="O40" s="114"/>
      <c r="P40" s="114"/>
      <c r="Q40" s="114"/>
      <c r="R40" s="114"/>
      <c r="S40" s="114"/>
      <c r="T40" s="114"/>
      <c r="U40" s="120"/>
      <c r="V40" s="114"/>
      <c r="W40" s="121"/>
      <c r="X40" s="114"/>
      <c r="Z40" s="114"/>
    </row>
    <row r="41" spans="1:32">
      <c r="A41" s="119"/>
      <c r="B41" s="119"/>
      <c r="C41" s="17">
        <f t="shared" si="10"/>
        <v>16.5</v>
      </c>
      <c r="D41" s="17">
        <v>16</v>
      </c>
      <c r="E41" s="120">
        <f t="shared" si="6"/>
        <v>2.0111706899860593</v>
      </c>
      <c r="F41" s="48">
        <f t="shared" si="7"/>
        <v>0.97781458324230142</v>
      </c>
      <c r="G41" s="120">
        <f t="shared" si="8"/>
        <v>6.3416612325733315</v>
      </c>
      <c r="H41" s="114">
        <f t="shared" si="0"/>
        <v>37.901583217682038</v>
      </c>
      <c r="I41" s="48">
        <f t="shared" si="9"/>
        <v>1.062756714095155</v>
      </c>
      <c r="J41" s="120">
        <f t="shared" si="1"/>
        <v>73.127419174878554</v>
      </c>
      <c r="K41" s="120">
        <f t="shared" si="2"/>
        <v>1474.0349242534453</v>
      </c>
      <c r="L41" s="114">
        <f t="shared" si="3"/>
        <v>2140.6143411198109</v>
      </c>
      <c r="M41" s="120">
        <f t="shared" si="4"/>
        <v>8.1657439322561576</v>
      </c>
      <c r="O41" s="114"/>
      <c r="P41" s="114"/>
      <c r="Q41" s="114"/>
      <c r="R41" s="114"/>
      <c r="S41" s="114"/>
      <c r="T41" s="114"/>
      <c r="U41" s="120"/>
      <c r="V41" s="114"/>
      <c r="W41" s="121"/>
      <c r="X41" s="114"/>
      <c r="Z41" s="114"/>
    </row>
    <row r="42" spans="1:32">
      <c r="A42" s="119"/>
      <c r="B42" s="119"/>
      <c r="C42" s="17">
        <f t="shared" si="10"/>
        <v>16</v>
      </c>
      <c r="D42" s="17">
        <v>16</v>
      </c>
      <c r="E42" s="120">
        <f t="shared" si="6"/>
        <v>2.0366599719825222</v>
      </c>
      <c r="F42" s="48">
        <f t="shared" si="7"/>
        <v>0.97057426030021943</v>
      </c>
      <c r="G42" s="120">
        <f t="shared" si="8"/>
        <v>6.4113151768736145</v>
      </c>
      <c r="H42" s="114">
        <f t="shared" si="0"/>
        <v>38.632534635560297</v>
      </c>
      <c r="I42" s="48">
        <f t="shared" si="9"/>
        <v>1.0715618885198168</v>
      </c>
      <c r="J42" s="120">
        <f t="shared" si="1"/>
        <v>72.957714527834767</v>
      </c>
      <c r="K42" s="120">
        <f t="shared" si="2"/>
        <v>1473.3697031323077</v>
      </c>
      <c r="L42" s="114">
        <f t="shared" si="3"/>
        <v>2121.9267340496335</v>
      </c>
      <c r="M42" s="120">
        <f t="shared" si="4"/>
        <v>7.9159151680028845</v>
      </c>
      <c r="O42" s="114"/>
      <c r="P42" s="114"/>
      <c r="Q42" s="114"/>
      <c r="R42" s="114"/>
      <c r="S42" s="114"/>
      <c r="T42" s="114"/>
      <c r="U42" s="120"/>
      <c r="V42" s="114"/>
      <c r="W42" s="121"/>
      <c r="X42" s="114"/>
      <c r="Z42" s="114"/>
    </row>
    <row r="43" spans="1:32">
      <c r="A43" s="119"/>
      <c r="B43" s="119"/>
      <c r="C43" s="17">
        <f t="shared" si="10"/>
        <v>15.5</v>
      </c>
      <c r="D43" s="17">
        <v>16</v>
      </c>
      <c r="E43" s="120">
        <f t="shared" si="6"/>
        <v>2.064647487556829</v>
      </c>
      <c r="F43" s="48">
        <f t="shared" si="7"/>
        <v>0.96256189034641593</v>
      </c>
      <c r="G43" s="120">
        <f t="shared" si="8"/>
        <v>6.4864194679147351</v>
      </c>
      <c r="H43" s="114">
        <f t="shared" si="0"/>
        <v>39.413717380251349</v>
      </c>
      <c r="I43" s="48">
        <f t="shared" si="9"/>
        <v>1.0806915111463127</v>
      </c>
      <c r="J43" s="120">
        <f t="shared" si="1"/>
        <v>72.759570442874818</v>
      </c>
      <c r="K43" s="120">
        <f t="shared" si="2"/>
        <v>1473.3902386806856</v>
      </c>
      <c r="L43" s="114">
        <f t="shared" si="3"/>
        <v>2102.2878539661897</v>
      </c>
      <c r="M43" s="120">
        <f t="shared" si="4"/>
        <v>7.6677811085781453</v>
      </c>
      <c r="O43" s="114"/>
      <c r="P43" s="114"/>
      <c r="Q43" s="114"/>
      <c r="R43" s="114"/>
      <c r="S43" s="114"/>
      <c r="T43" s="114"/>
      <c r="U43" s="120"/>
      <c r="V43" s="114"/>
      <c r="W43" s="121"/>
      <c r="X43" s="114"/>
      <c r="Z43" s="114"/>
    </row>
    <row r="44" spans="1:32">
      <c r="A44" s="119"/>
      <c r="B44" s="119"/>
      <c r="C44" s="17">
        <f t="shared" si="10"/>
        <v>15</v>
      </c>
      <c r="D44" s="17">
        <v>16</v>
      </c>
      <c r="E44" s="120">
        <f t="shared" si="6"/>
        <v>2.0953546689658569</v>
      </c>
      <c r="F44" s="48">
        <f t="shared" si="7"/>
        <v>0.95370211150384776</v>
      </c>
      <c r="G44" s="120">
        <f t="shared" si="8"/>
        <v>6.567116031848216</v>
      </c>
      <c r="H44" s="114">
        <f t="shared" si="0"/>
        <v>40.250898297310762</v>
      </c>
      <c r="I44" s="48">
        <f t="shared" si="9"/>
        <v>1.090170261682623</v>
      </c>
      <c r="J44" s="120">
        <f t="shared" si="1"/>
        <v>72.53047647873646</v>
      </c>
      <c r="K44" s="120">
        <f t="shared" si="2"/>
        <v>1474.0713578275254</v>
      </c>
      <c r="L44" s="114">
        <f t="shared" si="3"/>
        <v>2081.600882460993</v>
      </c>
      <c r="M44" s="120">
        <f t="shared" si="4"/>
        <v>7.4214224766675319</v>
      </c>
      <c r="O44" s="114"/>
      <c r="P44" s="114"/>
      <c r="Q44" s="114"/>
      <c r="R44" s="114"/>
      <c r="S44" s="114"/>
      <c r="T44" s="114"/>
      <c r="U44" s="120"/>
      <c r="V44" s="114"/>
      <c r="W44" s="121"/>
      <c r="X44" s="114"/>
      <c r="Z44" s="114"/>
    </row>
    <row r="45" spans="1:32">
      <c r="A45" s="119"/>
      <c r="B45" s="119"/>
      <c r="C45" s="17">
        <f t="shared" si="10"/>
        <v>14.5</v>
      </c>
      <c r="D45" s="17">
        <v>16</v>
      </c>
      <c r="E45" s="120">
        <f t="shared" si="6"/>
        <v>2.1289769171082922</v>
      </c>
      <c r="F45" s="48">
        <f t="shared" si="7"/>
        <v>0.94391877411407843</v>
      </c>
      <c r="G45" s="120">
        <f t="shared" si="8"/>
        <v>6.6533222717864922</v>
      </c>
      <c r="H45" s="114">
        <f t="shared" si="0"/>
        <v>41.150608882003446</v>
      </c>
      <c r="I45" s="48">
        <f t="shared" si="9"/>
        <v>1.1000109346502147</v>
      </c>
      <c r="J45" s="120">
        <f t="shared" si="1"/>
        <v>72.268096028487946</v>
      </c>
      <c r="K45" s="120">
        <f t="shared" si="2"/>
        <v>1475.3310718616526</v>
      </c>
      <c r="L45" s="114">
        <f t="shared" si="3"/>
        <v>2059.729456596795</v>
      </c>
      <c r="M45" s="120">
        <f t="shared" si="4"/>
        <v>7.1769142408681734</v>
      </c>
      <c r="O45" s="114"/>
      <c r="P45" s="114"/>
      <c r="Q45" s="114"/>
      <c r="R45" s="114"/>
      <c r="S45" s="114"/>
      <c r="T45" s="114"/>
      <c r="U45" s="120"/>
      <c r="V45" s="114"/>
      <c r="W45" s="121"/>
      <c r="X45" s="114"/>
      <c r="Z45" s="114"/>
    </row>
    <row r="46" spans="1:32">
      <c r="A46" s="119"/>
      <c r="B46" s="119"/>
      <c r="C46" s="17">
        <f t="shared" si="10"/>
        <v>14</v>
      </c>
      <c r="D46" s="17">
        <v>16</v>
      </c>
      <c r="E46" s="120">
        <f t="shared" si="6"/>
        <v>2.165648313846432</v>
      </c>
      <c r="F46" s="48">
        <f t="shared" si="7"/>
        <v>0.93313934069004822</v>
      </c>
      <c r="G46" s="120">
        <f t="shared" si="8"/>
        <v>6.7445848894238445</v>
      </c>
      <c r="H46" s="114">
        <f t="shared" si="0"/>
        <v>42.120188993745543</v>
      </c>
      <c r="I46" s="48">
        <f t="shared" si="9"/>
        <v>1.1102034816957365</v>
      </c>
      <c r="J46" s="120">
        <f t="shared" si="1"/>
        <v>71.970775641415059</v>
      </c>
      <c r="K46" s="120">
        <f t="shared" si="2"/>
        <v>1477.0041299719003</v>
      </c>
      <c r="L46" s="114">
        <f t="shared" si="3"/>
        <v>2036.4795505030752</v>
      </c>
      <c r="M46" s="120">
        <f t="shared" si="4"/>
        <v>6.9342929054385269</v>
      </c>
      <c r="O46" s="114"/>
      <c r="P46" s="114"/>
      <c r="Q46" s="114"/>
      <c r="R46" s="114"/>
      <c r="S46" s="114"/>
      <c r="T46" s="114"/>
      <c r="U46" s="120"/>
      <c r="V46" s="114"/>
      <c r="W46" s="121"/>
      <c r="X46" s="114"/>
      <c r="Z46" s="114"/>
    </row>
    <row r="47" spans="1:32">
      <c r="A47" s="119"/>
      <c r="B47" s="119"/>
      <c r="C47" s="17">
        <f t="shared" si="10"/>
        <v>13.5</v>
      </c>
      <c r="D47" s="17">
        <v>16</v>
      </c>
      <c r="E47" s="120">
        <f t="shared" si="6"/>
        <v>2.2053842870345717</v>
      </c>
      <c r="F47" s="48">
        <f t="shared" si="7"/>
        <v>0.92130201890011876</v>
      </c>
      <c r="G47" s="120">
        <f t="shared" si="8"/>
        <v>6.8398615717878855</v>
      </c>
      <c r="H47" s="114">
        <f t="shared" si="0"/>
        <v>43.167776861986276</v>
      </c>
      <c r="I47" s="48">
        <f t="shared" si="9"/>
        <v>1.1206981777297509</v>
      </c>
      <c r="J47" s="120">
        <f t="shared" si="1"/>
        <v>71.638419419948008</v>
      </c>
      <c r="K47" s="120">
        <f t="shared" si="2"/>
        <v>1478.805974748579</v>
      </c>
      <c r="L47" s="114">
        <f t="shared" si="3"/>
        <v>2011.5749345562435</v>
      </c>
      <c r="M47" s="120">
        <f t="shared" si="4"/>
        <v>6.693502993614473</v>
      </c>
      <c r="O47" s="114"/>
      <c r="P47" s="114"/>
      <c r="Q47" s="114"/>
      <c r="R47" s="114"/>
      <c r="S47" s="114"/>
      <c r="T47" s="114"/>
      <c r="U47" s="120"/>
      <c r="V47" s="114"/>
      <c r="W47" s="121"/>
      <c r="X47" s="114"/>
      <c r="Z47" s="114"/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Feuil6"/>
  <dimension ref="A5:AF47"/>
  <sheetViews>
    <sheetView workbookViewId="0">
      <selection activeCell="F16" sqref="F16"/>
    </sheetView>
  </sheetViews>
  <sheetFormatPr defaultColWidth="11.42578125" defaultRowHeight="12.75"/>
  <cols>
    <col min="1" max="1" width="11.42578125" customWidth="1"/>
    <col min="2" max="2" width="21.28515625" bestFit="1" customWidth="1"/>
    <col min="3" max="3" width="11.42578125" customWidth="1"/>
    <col min="4" max="4" width="13.5703125" bestFit="1" customWidth="1"/>
    <col min="5" max="5" width="12.42578125" bestFit="1" customWidth="1"/>
    <col min="6" max="10" width="11.42578125" customWidth="1"/>
    <col min="11" max="12" width="11.5703125" bestFit="1" customWidth="1"/>
    <col min="13" max="16" width="11.42578125" customWidth="1"/>
    <col min="17" max="17" width="13.5703125" bestFit="1" customWidth="1"/>
    <col min="18" max="20" width="11.42578125" customWidth="1"/>
    <col min="21" max="22" width="11.42578125" style="17" customWidth="1"/>
    <col min="23" max="23" width="11.5703125" bestFit="1" customWidth="1"/>
  </cols>
  <sheetData>
    <row r="5" spans="2:7">
      <c r="B5" s="97" t="s">
        <v>210</v>
      </c>
      <c r="C5" s="98">
        <v>26.75</v>
      </c>
      <c r="D5" s="97" t="s">
        <v>86</v>
      </c>
      <c r="F5" s="99" t="s">
        <v>211</v>
      </c>
      <c r="G5" s="100">
        <v>-0.19543252</v>
      </c>
    </row>
    <row r="6" spans="2:7">
      <c r="B6" s="101" t="s">
        <v>212</v>
      </c>
      <c r="C6" s="98">
        <v>12.3</v>
      </c>
      <c r="D6" s="101" t="s">
        <v>213</v>
      </c>
      <c r="F6" s="99" t="s">
        <v>214</v>
      </c>
      <c r="G6" s="100">
        <v>1.9332132234790176</v>
      </c>
    </row>
    <row r="7" spans="2:7">
      <c r="B7" s="101" t="s">
        <v>215</v>
      </c>
      <c r="C7" s="102">
        <v>30.92</v>
      </c>
      <c r="D7" s="101" t="s">
        <v>96</v>
      </c>
      <c r="F7" s="17" t="s">
        <v>216</v>
      </c>
      <c r="G7" s="100">
        <v>0.99949893412208324</v>
      </c>
    </row>
    <row r="8" spans="2:7">
      <c r="B8" s="101" t="s">
        <v>217</v>
      </c>
      <c r="C8" s="98">
        <v>5.5</v>
      </c>
      <c r="D8" s="101" t="s">
        <v>213</v>
      </c>
      <c r="F8" s="17" t="s">
        <v>146</v>
      </c>
      <c r="G8" s="103">
        <f>[9]!cp_(11,C6,C7)</f>
        <v>5.4522121967317716</v>
      </c>
    </row>
    <row r="9" spans="2:7">
      <c r="B9" s="101" t="s">
        <v>218</v>
      </c>
      <c r="C9" s="104">
        <f>C7-1.359*C12/(C5*G8)</f>
        <v>16.473737512814324</v>
      </c>
      <c r="D9" s="101" t="s">
        <v>96</v>
      </c>
      <c r="E9" s="105"/>
      <c r="F9" s="17" t="s">
        <v>219</v>
      </c>
      <c r="G9" s="106">
        <v>5.5539999999999996E-10</v>
      </c>
    </row>
    <row r="10" spans="2:7">
      <c r="B10" s="101" t="s">
        <v>220</v>
      </c>
      <c r="C10" s="107">
        <f>0.523*C5*G8/G9/G15^2*(2*C7/(G6+1)-C8/(G7*G11/G12*C7))/2/PI()/(-0.00003*C7^3+0.0023*C7^2-0.0502*C7+1.2977)</f>
        <v>2270.0772067378011</v>
      </c>
      <c r="D10" s="101" t="s">
        <v>221</v>
      </c>
      <c r="F10" s="17" t="s">
        <v>222</v>
      </c>
      <c r="G10" s="108">
        <v>1.0699999999999999E-2</v>
      </c>
    </row>
    <row r="11" spans="2:7">
      <c r="B11" s="101" t="s">
        <v>223</v>
      </c>
      <c r="C11" s="104">
        <f>45+28.7*EXP(-(G16-1)^2/G5)</f>
        <v>68.207735036851375</v>
      </c>
      <c r="D11" s="101" t="s">
        <v>209</v>
      </c>
      <c r="F11" s="17" t="s">
        <v>224</v>
      </c>
      <c r="G11" s="100">
        <v>8.3144720000000003</v>
      </c>
    </row>
    <row r="12" spans="2:7">
      <c r="B12" s="101" t="s">
        <v>225</v>
      </c>
      <c r="C12" s="109">
        <f>0.667*C11/100*C5*G8*C7*(G6-1)/(G6+1)+0.428*C11/100*C5*G8*(2*C7/(G6+1)-C8/(G7*G11/G12*C7))</f>
        <v>1550.3600943140173</v>
      </c>
      <c r="D12" s="101" t="s">
        <v>226</v>
      </c>
      <c r="F12" s="17" t="s">
        <v>227</v>
      </c>
      <c r="G12" s="100">
        <v>4.0026000000000003E-3</v>
      </c>
    </row>
    <row r="13" spans="2:7">
      <c r="B13" s="101" t="s">
        <v>228</v>
      </c>
      <c r="C13" s="110">
        <f>C5*SQRT(G7*C7)/C6</f>
        <v>12.090091430606405</v>
      </c>
      <c r="D13" s="103" t="s">
        <v>229</v>
      </c>
      <c r="F13" s="17" t="s">
        <v>230</v>
      </c>
      <c r="G13" s="105">
        <v>2.4399999999999999E-6</v>
      </c>
    </row>
    <row r="14" spans="2:7" ht="15.75">
      <c r="B14" s="101"/>
      <c r="C14" s="110"/>
      <c r="D14" s="103"/>
      <c r="F14" s="111" t="s">
        <v>237</v>
      </c>
      <c r="G14" s="112">
        <v>2205</v>
      </c>
    </row>
    <row r="15" spans="2:7" ht="15.75">
      <c r="F15" s="99" t="s">
        <v>238</v>
      </c>
      <c r="G15" s="112">
        <f>2*PI()*G14</f>
        <v>13854.423602330988</v>
      </c>
    </row>
    <row r="16" spans="2:7">
      <c r="F16" s="99" t="s">
        <v>85</v>
      </c>
      <c r="G16" s="112">
        <f>G10*2*PI()*G14/0.64/SQRT(G6*G7*G11/G12*C7*2/(G6+1))</f>
        <v>0.79625478328451438</v>
      </c>
    </row>
    <row r="17" spans="1:32">
      <c r="D17" s="113"/>
    </row>
    <row r="18" spans="1:32">
      <c r="C18" s="114"/>
      <c r="D18" s="115"/>
    </row>
    <row r="19" spans="1:32">
      <c r="C19" s="114"/>
      <c r="D19" s="115"/>
    </row>
    <row r="20" spans="1:32">
      <c r="C20" s="114"/>
      <c r="D20" s="115"/>
    </row>
    <row r="21" spans="1:32">
      <c r="C21" s="48"/>
      <c r="D21" s="113"/>
    </row>
    <row r="22" spans="1:32" ht="11.25" customHeight="1">
      <c r="F22" s="116"/>
      <c r="G22" s="117"/>
    </row>
    <row r="23" spans="1:32">
      <c r="F23" s="116"/>
      <c r="G23" s="117"/>
      <c r="Q23" s="118"/>
      <c r="AE23" s="118"/>
    </row>
    <row r="24" spans="1:32">
      <c r="C24" s="17" t="s">
        <v>231</v>
      </c>
      <c r="D24" s="17" t="s">
        <v>93</v>
      </c>
      <c r="E24" s="99" t="s">
        <v>214</v>
      </c>
      <c r="F24" s="17" t="s">
        <v>216</v>
      </c>
      <c r="G24" s="17" t="s">
        <v>146</v>
      </c>
      <c r="H24" s="17" t="s">
        <v>232</v>
      </c>
      <c r="I24" s="99" t="s">
        <v>85</v>
      </c>
      <c r="J24" s="17" t="s">
        <v>233</v>
      </c>
      <c r="K24" s="17" t="s">
        <v>234</v>
      </c>
      <c r="L24" s="17" t="s">
        <v>235</v>
      </c>
      <c r="M24" s="17" t="s">
        <v>236</v>
      </c>
      <c r="O24" s="17"/>
      <c r="P24" s="17"/>
      <c r="Q24" s="17"/>
      <c r="R24" s="17"/>
      <c r="S24" s="17"/>
      <c r="T24" s="17"/>
      <c r="W24" s="17"/>
      <c r="X24" s="17"/>
      <c r="Y24" s="17"/>
      <c r="Z24" s="17"/>
      <c r="AA24" s="17"/>
      <c r="AB24" s="17"/>
      <c r="AC24" s="17"/>
      <c r="AD24" s="17"/>
      <c r="AF24" s="17"/>
    </row>
    <row r="25" spans="1:32">
      <c r="A25" s="119"/>
      <c r="B25" s="119"/>
      <c r="C25" s="17">
        <v>30</v>
      </c>
      <c r="D25" s="17">
        <v>16</v>
      </c>
      <c r="E25" s="120">
        <v>1.7408929992276008</v>
      </c>
      <c r="F25" s="48">
        <v>1.0368403843148541</v>
      </c>
      <c r="G25" s="120">
        <v>5.5108880470745749</v>
      </c>
      <c r="H25" s="114">
        <f t="shared" ref="H25:H47" si="0">$C$13*D25/SQRT(F25*C25)</f>
        <v>34.68430433960404</v>
      </c>
      <c r="I25" s="48">
        <f t="shared" ref="I25:I47" si="1">$G$10*2*PI()*L25/0.64/SQRT(E25*F25*$G$11/$G$12*C25*2/(E25+1))</f>
        <v>1.1390034976777192</v>
      </c>
      <c r="J25" s="120">
        <f t="shared" ref="J25:J47" si="2">45+28.7*EXP(-(I25-1)^2/$G$5)</f>
        <v>70.998253916648935</v>
      </c>
      <c r="K25" s="120">
        <f t="shared" ref="K25:K47" si="3">J25/100*H25*(0.667*G25*C25*(E25-1)/(E25+1))+0.428*J25/100*H25*G25*(2*C25/(E25+1)-$C$8/(F25*$G$11/$G$12*C25))</f>
        <v>2005.4905156150053</v>
      </c>
      <c r="L25" s="114">
        <f t="shared" ref="L25:L47" si="4">0.523*H25*G25/$G$9/$G$15^2*(2*C25/(E25+1)-$C$8/(F25*$G$11/$G$12*C25))/2/PI()/(-0.00003*C25^3+0.0023*C25^2-0.0502*C25+1.2977)</f>
        <v>3106.4130620455703</v>
      </c>
      <c r="M25" s="120">
        <f t="shared" ref="M25:M47" si="5">C25-1.359*K25/(H25*G25)</f>
        <v>15.741117429250357</v>
      </c>
      <c r="O25" s="114"/>
      <c r="P25" s="114"/>
      <c r="Q25" s="114"/>
      <c r="R25" s="114"/>
      <c r="S25" s="114"/>
      <c r="T25" s="114"/>
      <c r="U25" s="120"/>
      <c r="V25" s="114"/>
      <c r="W25" s="121"/>
      <c r="X25" s="114"/>
      <c r="Z25" s="114"/>
    </row>
    <row r="26" spans="1:32">
      <c r="A26" s="119"/>
      <c r="B26" s="119"/>
      <c r="C26" s="17">
        <f t="shared" ref="C26:C36" si="6">C25-1</f>
        <v>29</v>
      </c>
      <c r="D26" s="17">
        <v>16</v>
      </c>
      <c r="E26" s="120">
        <v>1.7481226253620845</v>
      </c>
      <c r="F26" s="48">
        <v>1.0362679960434322</v>
      </c>
      <c r="G26" s="120">
        <v>5.5362575111970891</v>
      </c>
      <c r="H26" s="114">
        <f t="shared" si="0"/>
        <v>35.286982824947991</v>
      </c>
      <c r="I26" s="48">
        <f t="shared" si="1"/>
        <v>1.1488371785477007</v>
      </c>
      <c r="J26" s="120">
        <f t="shared" si="2"/>
        <v>70.624423715593338</v>
      </c>
      <c r="K26" s="120">
        <f t="shared" si="3"/>
        <v>1972.8090783565531</v>
      </c>
      <c r="L26" s="114">
        <f t="shared" si="4"/>
        <v>3082.0450633252208</v>
      </c>
      <c r="M26" s="120">
        <f t="shared" si="5"/>
        <v>15.276221312550973</v>
      </c>
      <c r="O26" s="114"/>
      <c r="P26" s="114"/>
      <c r="Q26" s="114"/>
      <c r="R26" s="114"/>
      <c r="S26" s="114"/>
      <c r="T26" s="114"/>
      <c r="U26" s="120"/>
      <c r="V26" s="114"/>
      <c r="W26" s="121"/>
      <c r="X26" s="114"/>
      <c r="Z26" s="114"/>
    </row>
    <row r="27" spans="1:32">
      <c r="A27" s="119"/>
      <c r="B27" s="119"/>
      <c r="C27" s="17">
        <f t="shared" si="6"/>
        <v>28</v>
      </c>
      <c r="D27" s="17">
        <v>16</v>
      </c>
      <c r="E27" s="120">
        <v>1.7562323913610176</v>
      </c>
      <c r="F27" s="48">
        <v>1.0354412808482836</v>
      </c>
      <c r="G27" s="120">
        <v>5.5643371151203889</v>
      </c>
      <c r="H27" s="114">
        <f t="shared" si="0"/>
        <v>35.92591305279452</v>
      </c>
      <c r="I27" s="48">
        <f t="shared" si="1"/>
        <v>1.1598671815602617</v>
      </c>
      <c r="J27" s="120">
        <f t="shared" si="2"/>
        <v>70.181837566739802</v>
      </c>
      <c r="K27" s="120">
        <f t="shared" si="3"/>
        <v>1938.9017998022559</v>
      </c>
      <c r="L27" s="114">
        <f t="shared" si="4"/>
        <v>3058.8674403727337</v>
      </c>
      <c r="M27" s="120">
        <f t="shared" si="5"/>
        <v>14.818828150100616</v>
      </c>
      <c r="O27" s="114"/>
      <c r="P27" s="114"/>
      <c r="Q27" s="114"/>
      <c r="R27" s="114"/>
      <c r="S27" s="114"/>
      <c r="T27" s="114"/>
      <c r="U27" s="120"/>
      <c r="V27" s="114"/>
      <c r="W27" s="121"/>
      <c r="X27" s="114"/>
      <c r="Z27" s="114"/>
    </row>
    <row r="28" spans="1:32">
      <c r="A28" s="119"/>
      <c r="B28" s="119"/>
      <c r="C28" s="17">
        <f t="shared" si="6"/>
        <v>27</v>
      </c>
      <c r="D28" s="17">
        <v>16</v>
      </c>
      <c r="E28" s="120">
        <v>1.7653787318494789</v>
      </c>
      <c r="F28" s="48">
        <v>1.0343181514717905</v>
      </c>
      <c r="G28" s="120">
        <v>5.5955837081318034</v>
      </c>
      <c r="H28" s="114">
        <f t="shared" si="0"/>
        <v>36.605016979240148</v>
      </c>
      <c r="I28" s="48">
        <f t="shared" si="1"/>
        <v>1.1719939929124041</v>
      </c>
      <c r="J28" s="120">
        <f t="shared" si="2"/>
        <v>69.668586628865839</v>
      </c>
      <c r="K28" s="120">
        <f t="shared" si="3"/>
        <v>1903.8945492805938</v>
      </c>
      <c r="L28" s="114">
        <f t="shared" si="4"/>
        <v>3036.3619790646385</v>
      </c>
      <c r="M28" s="120">
        <f t="shared" si="5"/>
        <v>14.367877238631612</v>
      </c>
      <c r="O28" s="114"/>
      <c r="P28" s="114"/>
      <c r="Q28" s="114"/>
      <c r="R28" s="114"/>
      <c r="S28" s="114"/>
      <c r="T28" s="114"/>
      <c r="U28" s="120"/>
      <c r="V28" s="114"/>
      <c r="W28" s="121"/>
      <c r="X28" s="114"/>
      <c r="Z28" s="114"/>
    </row>
    <row r="29" spans="1:32">
      <c r="A29" s="119"/>
      <c r="B29" s="119"/>
      <c r="C29" s="17">
        <f t="shared" si="6"/>
        <v>26</v>
      </c>
      <c r="D29" s="17">
        <v>16</v>
      </c>
      <c r="E29" s="120">
        <v>1.7757537543278621</v>
      </c>
      <c r="F29" s="48">
        <v>1.032846201210855</v>
      </c>
      <c r="G29" s="120">
        <v>5.6305507238728136</v>
      </c>
      <c r="H29" s="114">
        <f t="shared" si="0"/>
        <v>37.328889100195425</v>
      </c>
      <c r="I29" s="48">
        <f t="shared" si="1"/>
        <v>1.1851229913581427</v>
      </c>
      <c r="J29" s="120">
        <f t="shared" si="2"/>
        <v>69.083809457194292</v>
      </c>
      <c r="K29" s="120">
        <f t="shared" si="3"/>
        <v>1867.966250489241</v>
      </c>
      <c r="L29" s="114">
        <f t="shared" si="4"/>
        <v>3014.0218500281389</v>
      </c>
      <c r="M29" s="120">
        <f t="shared" si="5"/>
        <v>13.922069082895819</v>
      </c>
      <c r="O29" s="114"/>
      <c r="P29" s="114"/>
      <c r="Q29" s="114"/>
      <c r="R29" s="114"/>
      <c r="S29" s="114"/>
      <c r="T29" s="114"/>
      <c r="U29" s="120"/>
      <c r="V29" s="114"/>
      <c r="W29" s="121"/>
      <c r="X29" s="114"/>
      <c r="Z29" s="114"/>
    </row>
    <row r="30" spans="1:32">
      <c r="A30" s="119"/>
      <c r="B30" s="119"/>
      <c r="C30" s="17">
        <f t="shared" si="6"/>
        <v>25</v>
      </c>
      <c r="D30" s="17">
        <v>16</v>
      </c>
      <c r="E30" s="120">
        <v>1.7875947558388432</v>
      </c>
      <c r="F30" s="48">
        <v>1.0309599030231358</v>
      </c>
      <c r="G30" s="120">
        <v>5.6699114117410003</v>
      </c>
      <c r="H30" s="114">
        <f t="shared" si="0"/>
        <v>38.102956610053262</v>
      </c>
      <c r="I30" s="48">
        <f t="shared" si="1"/>
        <v>1.1991658546021817</v>
      </c>
      <c r="J30" s="120">
        <f t="shared" si="2"/>
        <v>68.427876480595657</v>
      </c>
      <c r="K30" s="120">
        <f t="shared" si="3"/>
        <v>1831.3566658867915</v>
      </c>
      <c r="L30" s="114">
        <f t="shared" si="4"/>
        <v>2991.3513748306418</v>
      </c>
      <c r="M30" s="120">
        <f t="shared" si="5"/>
        <v>13.479868388640167</v>
      </c>
      <c r="O30" s="114"/>
      <c r="P30" s="114"/>
      <c r="Q30" s="114"/>
      <c r="R30" s="114"/>
      <c r="S30" s="114"/>
      <c r="T30" s="114"/>
      <c r="U30" s="120"/>
      <c r="V30" s="114"/>
      <c r="W30" s="121"/>
      <c r="X30" s="114"/>
      <c r="Z30" s="114"/>
    </row>
    <row r="31" spans="1:32">
      <c r="A31" s="119"/>
      <c r="B31" s="119"/>
      <c r="C31" s="17">
        <f t="shared" si="6"/>
        <v>24</v>
      </c>
      <c r="D31" s="17">
        <v>16</v>
      </c>
      <c r="E31" s="120">
        <v>1.8011966135148756</v>
      </c>
      <c r="F31" s="48">
        <v>1.0285770832095811</v>
      </c>
      <c r="G31" s="120">
        <v>5.7144881062806432</v>
      </c>
      <c r="H31" s="114">
        <f t="shared" si="0"/>
        <v>38.933686272534977</v>
      </c>
      <c r="I31" s="48">
        <f t="shared" si="1"/>
        <v>1.2140432455149379</v>
      </c>
      <c r="J31" s="120">
        <f t="shared" si="2"/>
        <v>67.702405367193393</v>
      </c>
      <c r="K31" s="120">
        <f t="shared" si="3"/>
        <v>1794.3704598089107</v>
      </c>
      <c r="L31" s="114">
        <f t="shared" si="4"/>
        <v>2967.8676655996437</v>
      </c>
      <c r="M31" s="120">
        <f t="shared" si="5"/>
        <v>13.039541814733454</v>
      </c>
      <c r="O31" s="114"/>
      <c r="P31" s="114"/>
      <c r="Q31" s="114"/>
      <c r="R31" s="114"/>
      <c r="S31" s="114"/>
      <c r="T31" s="114"/>
      <c r="U31" s="120"/>
      <c r="V31" s="114"/>
      <c r="W31" s="121"/>
      <c r="X31" s="114"/>
      <c r="Z31" s="114"/>
    </row>
    <row r="32" spans="1:32">
      <c r="A32" s="119"/>
      <c r="B32" s="119"/>
      <c r="C32" s="17">
        <f t="shared" si="6"/>
        <v>23</v>
      </c>
      <c r="D32" s="17">
        <v>16</v>
      </c>
      <c r="E32" s="120">
        <v>1.8169277997562179</v>
      </c>
      <c r="F32" s="48">
        <v>1.025594468502611</v>
      </c>
      <c r="G32" s="120">
        <v>5.7652882482507106</v>
      </c>
      <c r="H32" s="114">
        <f t="shared" si="0"/>
        <v>39.828854398381516</v>
      </c>
      <c r="I32" s="48">
        <f t="shared" si="1"/>
        <v>1.2296889865708631</v>
      </c>
      <c r="J32" s="120">
        <f t="shared" si="2"/>
        <v>66.910084522886507</v>
      </c>
      <c r="K32" s="120">
        <f t="shared" si="3"/>
        <v>1757.3772970459436</v>
      </c>
      <c r="L32" s="114">
        <f t="shared" si="4"/>
        <v>2943.1038115702413</v>
      </c>
      <c r="M32" s="120">
        <f t="shared" si="5"/>
        <v>12.599226764092169</v>
      </c>
      <c r="O32" s="114"/>
      <c r="P32" s="114"/>
      <c r="Q32" s="114"/>
      <c r="R32" s="114"/>
      <c r="S32" s="114"/>
      <c r="T32" s="114"/>
      <c r="U32" s="120"/>
      <c r="V32" s="114"/>
      <c r="W32" s="121"/>
      <c r="X32" s="114"/>
      <c r="Z32" s="114"/>
    </row>
    <row r="33" spans="1:32">
      <c r="A33" s="119"/>
      <c r="B33" s="119"/>
      <c r="C33" s="17">
        <f t="shared" si="6"/>
        <v>22</v>
      </c>
      <c r="D33" s="17">
        <v>16</v>
      </c>
      <c r="E33" s="120">
        <v>1.8352508836003305</v>
      </c>
      <c r="F33" s="48">
        <v>1.0218821400636711</v>
      </c>
      <c r="G33" s="120">
        <v>5.8235473059030589</v>
      </c>
      <c r="H33" s="114">
        <f t="shared" si="0"/>
        <v>40.797901305993648</v>
      </c>
      <c r="I33" s="48">
        <f t="shared" si="1"/>
        <v>1.2460558215730559</v>
      </c>
      <c r="J33" s="120">
        <f t="shared" si="2"/>
        <v>66.054302595481303</v>
      </c>
      <c r="K33" s="120">
        <f t="shared" si="3"/>
        <v>1720.80801774213</v>
      </c>
      <c r="L33" s="114">
        <f t="shared" si="4"/>
        <v>2916.6128500310938</v>
      </c>
      <c r="M33" s="120">
        <f t="shared" si="5"/>
        <v>12.1570235300329</v>
      </c>
      <c r="O33" s="114"/>
      <c r="P33" s="114"/>
      <c r="Q33" s="114"/>
      <c r="R33" s="114"/>
      <c r="S33" s="114"/>
      <c r="T33" s="114"/>
      <c r="U33" s="120"/>
      <c r="V33" s="114"/>
      <c r="W33" s="121"/>
      <c r="X33" s="114"/>
      <c r="Z33" s="114"/>
    </row>
    <row r="34" spans="1:32">
      <c r="A34" s="119"/>
      <c r="B34" s="119"/>
      <c r="C34" s="17">
        <f t="shared" si="6"/>
        <v>21</v>
      </c>
      <c r="D34" s="17">
        <v>16</v>
      </c>
      <c r="E34" s="120">
        <v>1.8567481881832419</v>
      </c>
      <c r="F34" s="48">
        <v>1.0172768032286581</v>
      </c>
      <c r="G34" s="120">
        <v>5.8907764945054364</v>
      </c>
      <c r="H34" s="114">
        <f t="shared" si="0"/>
        <v>41.85239829996685</v>
      </c>
      <c r="I34" s="48">
        <f t="shared" si="1"/>
        <v>1.2631225648207627</v>
      </c>
      <c r="J34" s="120">
        <f t="shared" si="2"/>
        <v>65.13862023627172</v>
      </c>
      <c r="K34" s="120">
        <f t="shared" si="3"/>
        <v>1685.1470735971777</v>
      </c>
      <c r="L34" s="114">
        <f t="shared" si="4"/>
        <v>2887.9708384505439</v>
      </c>
      <c r="M34" s="120">
        <f t="shared" si="5"/>
        <v>11.711098186296161</v>
      </c>
      <c r="O34" s="114"/>
      <c r="P34" s="114"/>
      <c r="Q34" s="114"/>
      <c r="R34" s="114"/>
      <c r="S34" s="114"/>
      <c r="T34" s="114"/>
      <c r="U34" s="120"/>
      <c r="V34" s="114"/>
      <c r="W34" s="121"/>
      <c r="X34" s="114"/>
      <c r="Z34" s="114"/>
    </row>
    <row r="35" spans="1:32">
      <c r="A35" s="119"/>
      <c r="B35" s="119"/>
      <c r="C35" s="17">
        <f t="shared" si="6"/>
        <v>20</v>
      </c>
      <c r="D35" s="17">
        <v>16</v>
      </c>
      <c r="E35" s="120">
        <v>1.882152354117387</v>
      </c>
      <c r="F35" s="48">
        <v>1.0115740241760403</v>
      </c>
      <c r="G35" s="120">
        <v>5.9688074236182658</v>
      </c>
      <c r="H35" s="114">
        <f t="shared" si="0"/>
        <v>43.00666199447371</v>
      </c>
      <c r="I35" s="48">
        <f t="shared" si="1"/>
        <v>1.2809016784495943</v>
      </c>
      <c r="J35" s="120">
        <f t="shared" si="2"/>
        <v>64.166189680228371</v>
      </c>
      <c r="K35" s="120">
        <f t="shared" si="3"/>
        <v>1650.9212233718924</v>
      </c>
      <c r="L35" s="114">
        <f t="shared" si="4"/>
        <v>2856.7755164862015</v>
      </c>
      <c r="M35" s="120">
        <f t="shared" si="5"/>
        <v>11.259777178887331</v>
      </c>
      <c r="O35" s="114"/>
      <c r="P35" s="114"/>
      <c r="Q35" s="114"/>
      <c r="R35" s="114"/>
      <c r="S35" s="114"/>
      <c r="T35" s="114"/>
      <c r="U35" s="120"/>
      <c r="V35" s="114"/>
      <c r="W35" s="121"/>
      <c r="X35" s="114"/>
      <c r="Z35" s="114"/>
    </row>
    <row r="36" spans="1:32">
      <c r="A36" s="119"/>
      <c r="B36" s="119"/>
      <c r="C36" s="17">
        <f t="shared" si="6"/>
        <v>19</v>
      </c>
      <c r="D36" s="17">
        <v>16</v>
      </c>
      <c r="E36" s="120">
        <v>1.912378838899109</v>
      </c>
      <c r="F36" s="48">
        <v>1.004520231361419</v>
      </c>
      <c r="G36" s="120">
        <v>6.0598121538638647</v>
      </c>
      <c r="H36" s="114">
        <f t="shared" si="0"/>
        <v>44.278553352354315</v>
      </c>
      <c r="I36" s="48">
        <f t="shared" si="1"/>
        <v>1.2994445144313658</v>
      </c>
      <c r="J36" s="120">
        <f t="shared" si="2"/>
        <v>63.139355890888538</v>
      </c>
      <c r="K36" s="120">
        <f t="shared" si="3"/>
        <v>1618.6835505201796</v>
      </c>
      <c r="L36" s="114">
        <f t="shared" si="4"/>
        <v>2822.6334486285</v>
      </c>
      <c r="M36" s="120">
        <f t="shared" si="5"/>
        <v>10.801605264356841</v>
      </c>
      <c r="O36" s="114"/>
      <c r="P36" s="114"/>
      <c r="Q36" s="114"/>
      <c r="R36" s="114"/>
      <c r="S36" s="114"/>
      <c r="T36" s="114"/>
      <c r="U36" s="120"/>
      <c r="V36" s="114"/>
      <c r="W36" s="121"/>
      <c r="X36" s="114"/>
      <c r="Z36" s="114"/>
    </row>
    <row r="37" spans="1:32" s="132" customFormat="1">
      <c r="A37" s="122"/>
      <c r="B37" s="119"/>
      <c r="C37" s="123">
        <v>18.399999999999999</v>
      </c>
      <c r="D37" s="123">
        <v>16</v>
      </c>
      <c r="E37" s="124">
        <v>1.9332132234790176</v>
      </c>
      <c r="F37" s="125">
        <v>0.99949893412208324</v>
      </c>
      <c r="G37" s="124">
        <v>6.1213997686005639</v>
      </c>
      <c r="H37" s="126">
        <f t="shared" si="0"/>
        <v>45.107575913967786</v>
      </c>
      <c r="I37" s="127">
        <f t="shared" si="1"/>
        <v>1.3109775514397068</v>
      </c>
      <c r="J37" s="128">
        <f t="shared" si="2"/>
        <v>62.497555205894983</v>
      </c>
      <c r="K37" s="128">
        <f t="shared" si="3"/>
        <v>1600.4501486501115</v>
      </c>
      <c r="L37" s="126">
        <f t="shared" si="4"/>
        <v>2800.5347346169278</v>
      </c>
      <c r="M37" s="128">
        <f t="shared" si="5"/>
        <v>10.522990370159473</v>
      </c>
      <c r="N37" s="119"/>
      <c r="O37" s="129"/>
      <c r="P37" s="129"/>
      <c r="Q37" s="129"/>
      <c r="R37" s="129"/>
      <c r="S37" s="129"/>
      <c r="T37" s="129"/>
      <c r="U37" s="130"/>
      <c r="V37" s="129"/>
      <c r="W37" s="131"/>
      <c r="X37" s="114"/>
      <c r="Y37"/>
      <c r="Z37" s="114"/>
      <c r="AA37"/>
      <c r="AB37"/>
      <c r="AC37"/>
      <c r="AD37"/>
      <c r="AE37"/>
      <c r="AF37"/>
    </row>
    <row r="38" spans="1:32">
      <c r="A38" s="119"/>
      <c r="B38" s="119"/>
      <c r="C38" s="17">
        <v>18</v>
      </c>
      <c r="D38" s="17">
        <v>16</v>
      </c>
      <c r="E38" s="120">
        <v>1.9474612992291609</v>
      </c>
      <c r="F38" s="48">
        <v>0.99560284661714471</v>
      </c>
      <c r="G38" s="120">
        <v>6.1625291903596411</v>
      </c>
      <c r="H38" s="114">
        <f t="shared" si="0"/>
        <v>45.695165064880726</v>
      </c>
      <c r="I38" s="48">
        <f t="shared" si="1"/>
        <v>1.3189245976100608</v>
      </c>
      <c r="J38" s="120">
        <f t="shared" si="2"/>
        <v>62.055059387799531</v>
      </c>
      <c r="K38" s="120">
        <f t="shared" si="3"/>
        <v>1587.8815271390044</v>
      </c>
      <c r="L38" s="114">
        <f t="shared" si="4"/>
        <v>2784.7564291364033</v>
      </c>
      <c r="M38" s="120">
        <f t="shared" si="5"/>
        <v>10.336832592559013</v>
      </c>
      <c r="O38" s="114"/>
      <c r="P38" s="114"/>
      <c r="Q38" s="114"/>
      <c r="R38" s="114"/>
      <c r="S38" s="114"/>
      <c r="T38" s="114"/>
      <c r="U38" s="120"/>
      <c r="V38" s="114"/>
      <c r="W38" s="121"/>
      <c r="X38" s="114"/>
      <c r="Z38" s="114"/>
    </row>
    <row r="39" spans="1:32">
      <c r="A39" s="119"/>
      <c r="B39" s="119"/>
      <c r="C39" s="17">
        <f t="shared" ref="C39:C47" si="7">C38-0.5</f>
        <v>17.5</v>
      </c>
      <c r="D39" s="17">
        <v>16</v>
      </c>
      <c r="E39" s="120">
        <v>1.9667763054696901</v>
      </c>
      <c r="F39" s="48">
        <v>0.99026645789888301</v>
      </c>
      <c r="G39" s="120">
        <v>6.2176723522104487</v>
      </c>
      <c r="H39" s="114">
        <f t="shared" si="0"/>
        <v>46.468056531043707</v>
      </c>
      <c r="I39" s="48">
        <f t="shared" si="1"/>
        <v>1.329101072957068</v>
      </c>
      <c r="J39" s="120">
        <f t="shared" si="2"/>
        <v>61.489159965387543</v>
      </c>
      <c r="K39" s="120">
        <f t="shared" si="3"/>
        <v>1572.7702202929299</v>
      </c>
      <c r="L39" s="114">
        <f t="shared" si="4"/>
        <v>2764.1761668605905</v>
      </c>
      <c r="M39" s="120">
        <f t="shared" si="5"/>
        <v>10.102203296069892</v>
      </c>
      <c r="O39" s="114"/>
      <c r="P39" s="114"/>
      <c r="Q39" s="114"/>
      <c r="R39" s="114"/>
      <c r="S39" s="114"/>
      <c r="T39" s="114"/>
      <c r="U39" s="120"/>
      <c r="V39" s="114"/>
      <c r="W39" s="121"/>
      <c r="X39" s="114"/>
      <c r="Z39" s="114"/>
    </row>
    <row r="40" spans="1:32">
      <c r="A40" s="119"/>
      <c r="B40" s="119"/>
      <c r="C40" s="17">
        <f t="shared" si="7"/>
        <v>17</v>
      </c>
      <c r="D40" s="17">
        <v>16</v>
      </c>
      <c r="E40" s="120">
        <v>1.9879396023444302</v>
      </c>
      <c r="F40" s="48">
        <v>0.98435913229507366</v>
      </c>
      <c r="G40" s="120">
        <v>6.2772999934619795</v>
      </c>
      <c r="H40" s="114">
        <f t="shared" si="0"/>
        <v>47.287714008802027</v>
      </c>
      <c r="I40" s="48">
        <f t="shared" si="1"/>
        <v>1.3395774128300479</v>
      </c>
      <c r="J40" s="120">
        <f t="shared" si="2"/>
        <v>60.908571759653462</v>
      </c>
      <c r="K40" s="120">
        <f t="shared" si="3"/>
        <v>1558.3795925365173</v>
      </c>
      <c r="L40" s="114">
        <f t="shared" si="4"/>
        <v>2742.5990264392713</v>
      </c>
      <c r="M40" s="120">
        <f t="shared" si="5"/>
        <v>9.86536918690752</v>
      </c>
      <c r="O40" s="114"/>
      <c r="P40" s="114"/>
      <c r="Q40" s="114"/>
      <c r="R40" s="114"/>
      <c r="S40" s="114"/>
      <c r="T40" s="114"/>
      <c r="U40" s="120"/>
      <c r="V40" s="114"/>
      <c r="W40" s="121"/>
      <c r="X40" s="114"/>
      <c r="Z40" s="114"/>
    </row>
    <row r="41" spans="1:32">
      <c r="A41" s="119"/>
      <c r="B41" s="119"/>
      <c r="C41" s="17">
        <f t="shared" si="7"/>
        <v>16.5</v>
      </c>
      <c r="D41" s="17">
        <v>16</v>
      </c>
      <c r="E41" s="120">
        <v>2.011156031886022</v>
      </c>
      <c r="F41" s="48">
        <v>0.97781900097567587</v>
      </c>
      <c r="G41" s="120">
        <v>6.3417729930530902</v>
      </c>
      <c r="H41" s="114">
        <f t="shared" si="0"/>
        <v>48.159099715417284</v>
      </c>
      <c r="I41" s="48">
        <f t="shared" si="1"/>
        <v>1.3503897739204196</v>
      </c>
      <c r="J41" s="120">
        <f t="shared" si="2"/>
        <v>60.312744151668753</v>
      </c>
      <c r="K41" s="120">
        <f t="shared" si="3"/>
        <v>1544.7627898053486</v>
      </c>
      <c r="L41" s="114">
        <f t="shared" si="4"/>
        <v>2719.9703463756305</v>
      </c>
      <c r="M41" s="120">
        <f t="shared" si="5"/>
        <v>9.6262741866023838</v>
      </c>
      <c r="O41" s="114"/>
      <c r="P41" s="114"/>
      <c r="Q41" s="114"/>
      <c r="R41" s="114"/>
      <c r="S41" s="114"/>
      <c r="T41" s="114"/>
      <c r="U41" s="120"/>
      <c r="V41" s="114"/>
      <c r="W41" s="121"/>
      <c r="X41" s="114"/>
      <c r="Z41" s="114"/>
    </row>
    <row r="42" spans="1:32">
      <c r="A42" s="119"/>
      <c r="B42" s="119"/>
      <c r="C42" s="17">
        <f t="shared" si="7"/>
        <v>16</v>
      </c>
      <c r="D42" s="17">
        <v>16</v>
      </c>
      <c r="E42" s="120">
        <v>2.0366444161340485</v>
      </c>
      <c r="F42" s="48">
        <v>0.97057882132745943</v>
      </c>
      <c r="G42" s="120">
        <v>6.4114266147670804</v>
      </c>
      <c r="H42" s="114">
        <f t="shared" si="0"/>
        <v>49.087868134553275</v>
      </c>
      <c r="I42" s="48">
        <f t="shared" si="1"/>
        <v>1.3615766162614356</v>
      </c>
      <c r="J42" s="120">
        <f t="shared" si="2"/>
        <v>59.701234042305096</v>
      </c>
      <c r="K42" s="120">
        <f t="shared" si="3"/>
        <v>1531.964289937966</v>
      </c>
      <c r="L42" s="114">
        <f t="shared" si="4"/>
        <v>2696.2222233622688</v>
      </c>
      <c r="M42" s="120">
        <f t="shared" si="5"/>
        <v>9.3848567719162261</v>
      </c>
      <c r="O42" s="114"/>
      <c r="P42" s="114"/>
      <c r="Q42" s="114"/>
      <c r="R42" s="114"/>
      <c r="S42" s="114"/>
      <c r="T42" s="114"/>
      <c r="U42" s="120"/>
      <c r="V42" s="114"/>
      <c r="W42" s="121"/>
      <c r="X42" s="114"/>
      <c r="Z42" s="114"/>
    </row>
    <row r="43" spans="1:32">
      <c r="A43" s="119"/>
      <c r="B43" s="119"/>
      <c r="C43" s="17">
        <f t="shared" si="7"/>
        <v>15.5</v>
      </c>
      <c r="D43" s="17">
        <v>16</v>
      </c>
      <c r="E43" s="120">
        <v>2.0646310137869111</v>
      </c>
      <c r="F43" s="48">
        <v>0.96256659674201395</v>
      </c>
      <c r="G43" s="120">
        <v>6.4865308350572928</v>
      </c>
      <c r="H43" s="114">
        <f t="shared" si="0"/>
        <v>50.080461863861814</v>
      </c>
      <c r="I43" s="48">
        <f t="shared" si="1"/>
        <v>1.3731755455543553</v>
      </c>
      <c r="J43" s="120">
        <f t="shared" si="2"/>
        <v>59.07392596623238</v>
      </c>
      <c r="K43" s="120">
        <f t="shared" si="3"/>
        <v>1520.015238848936</v>
      </c>
      <c r="L43" s="114">
        <f t="shared" si="4"/>
        <v>2671.2651486917889</v>
      </c>
      <c r="M43" s="120">
        <f t="shared" si="5"/>
        <v>9.1410327791865402</v>
      </c>
      <c r="O43" s="114"/>
      <c r="P43" s="114"/>
      <c r="Q43" s="114"/>
      <c r="R43" s="114"/>
      <c r="S43" s="114"/>
      <c r="T43" s="114"/>
      <c r="U43" s="120"/>
      <c r="V43" s="114"/>
      <c r="W43" s="121"/>
      <c r="X43" s="114"/>
      <c r="Z43" s="114"/>
    </row>
    <row r="44" spans="1:32">
      <c r="A44" s="119"/>
      <c r="B44" s="119"/>
      <c r="C44" s="17">
        <f t="shared" si="7"/>
        <v>15</v>
      </c>
      <c r="D44" s="17">
        <v>16</v>
      </c>
      <c r="E44" s="120">
        <v>2.0953372855018357</v>
      </c>
      <c r="F44" s="48">
        <v>0.95370696175481684</v>
      </c>
      <c r="G44" s="120">
        <v>6.5672277114418565</v>
      </c>
      <c r="H44" s="114">
        <f t="shared" si="0"/>
        <v>51.144208497459566</v>
      </c>
      <c r="I44" s="48">
        <f t="shared" si="1"/>
        <v>1.3852178973381395</v>
      </c>
      <c r="J44" s="120">
        <f t="shared" si="2"/>
        <v>58.431362209828777</v>
      </c>
      <c r="K44" s="120">
        <f t="shared" si="3"/>
        <v>1508.9264035361568</v>
      </c>
      <c r="L44" s="114">
        <f t="shared" si="4"/>
        <v>2644.9760802522724</v>
      </c>
      <c r="M44" s="120">
        <f t="shared" si="5"/>
        <v>8.8946723257355433</v>
      </c>
      <c r="O44" s="114"/>
      <c r="P44" s="114"/>
      <c r="Q44" s="114"/>
      <c r="R44" s="114"/>
      <c r="S44" s="114"/>
      <c r="T44" s="114"/>
      <c r="U44" s="120"/>
      <c r="V44" s="114"/>
      <c r="W44" s="121"/>
      <c r="X44" s="114"/>
      <c r="Z44" s="114"/>
    </row>
    <row r="45" spans="1:32">
      <c r="A45" s="119"/>
      <c r="B45" s="119"/>
      <c r="C45" s="17">
        <f t="shared" si="7"/>
        <v>14.5</v>
      </c>
      <c r="D45" s="17">
        <v>16</v>
      </c>
      <c r="E45" s="120">
        <v>2.1289586744152573</v>
      </c>
      <c r="F45" s="48">
        <v>0.94392376163020952</v>
      </c>
      <c r="G45" s="120">
        <v>6.6534348200389939</v>
      </c>
      <c r="H45" s="114">
        <f t="shared" si="0"/>
        <v>52.287407262775204</v>
      </c>
      <c r="I45" s="48">
        <f t="shared" si="1"/>
        <v>1.397719901057012</v>
      </c>
      <c r="J45" s="120">
        <f t="shared" si="2"/>
        <v>57.775217507744898</v>
      </c>
      <c r="K45" s="120">
        <f t="shared" si="3"/>
        <v>1498.6774274142826</v>
      </c>
      <c r="L45" s="114">
        <f t="shared" si="4"/>
        <v>2617.181725601271</v>
      </c>
      <c r="M45" s="120">
        <f t="shared" si="5"/>
        <v>8.6455701178735982</v>
      </c>
      <c r="O45" s="114"/>
      <c r="P45" s="114"/>
      <c r="Q45" s="114"/>
      <c r="R45" s="114"/>
      <c r="S45" s="114"/>
      <c r="T45" s="114"/>
      <c r="U45" s="120"/>
      <c r="V45" s="114"/>
      <c r="W45" s="121"/>
      <c r="X45" s="114"/>
      <c r="Z45" s="114"/>
    </row>
    <row r="46" spans="1:32">
      <c r="A46" s="119"/>
      <c r="B46" s="119"/>
      <c r="C46" s="17">
        <f t="shared" si="7"/>
        <v>14</v>
      </c>
      <c r="D46" s="17">
        <v>16</v>
      </c>
      <c r="E46" s="120">
        <v>2.1656293329522676</v>
      </c>
      <c r="F46" s="48">
        <v>0.93314445483165553</v>
      </c>
      <c r="G46" s="120">
        <v>6.7446991076008116</v>
      </c>
      <c r="H46" s="114">
        <f t="shared" si="0"/>
        <v>53.519384502324087</v>
      </c>
      <c r="I46" s="48">
        <f t="shared" si="1"/>
        <v>1.4106687506944655</v>
      </c>
      <c r="J46" s="120">
        <f t="shared" si="2"/>
        <v>57.10895711188202</v>
      </c>
      <c r="K46" s="120">
        <f t="shared" si="3"/>
        <v>1489.2002772354408</v>
      </c>
      <c r="L46" s="114">
        <f t="shared" si="4"/>
        <v>2587.6355155306005</v>
      </c>
      <c r="M46" s="120">
        <f t="shared" si="5"/>
        <v>8.3934090056518826</v>
      </c>
      <c r="O46" s="114"/>
      <c r="P46" s="114"/>
      <c r="Q46" s="114"/>
      <c r="R46" s="114"/>
      <c r="S46" s="114"/>
      <c r="T46" s="114"/>
      <c r="U46" s="120"/>
      <c r="V46" s="114"/>
      <c r="W46" s="121"/>
      <c r="X46" s="114"/>
      <c r="Z46" s="114"/>
    </row>
    <row r="47" spans="1:32">
      <c r="A47" s="119"/>
      <c r="B47" s="119"/>
      <c r="C47" s="17">
        <f t="shared" si="7"/>
        <v>13.5</v>
      </c>
      <c r="D47" s="17">
        <v>16</v>
      </c>
      <c r="E47" s="120">
        <v>2.2053645758739551</v>
      </c>
      <c r="F47" s="48">
        <v>0.92130718094957742</v>
      </c>
      <c r="G47" s="120">
        <v>6.8399781162707569</v>
      </c>
      <c r="H47" s="114">
        <f t="shared" si="0"/>
        <v>54.850482910226795</v>
      </c>
      <c r="I47" s="48">
        <f t="shared" si="1"/>
        <v>1.4240013345111826</v>
      </c>
      <c r="J47" s="120">
        <f t="shared" si="2"/>
        <v>56.438713066962123</v>
      </c>
      <c r="K47" s="120">
        <f t="shared" si="3"/>
        <v>1480.3531188011339</v>
      </c>
      <c r="L47" s="114">
        <f t="shared" si="4"/>
        <v>2555.9865085873257</v>
      </c>
      <c r="M47" s="120">
        <f t="shared" si="5"/>
        <v>8.1377184645236689</v>
      </c>
      <c r="O47" s="114"/>
      <c r="P47" s="114"/>
      <c r="Q47" s="114"/>
      <c r="R47" s="114"/>
      <c r="S47" s="114"/>
      <c r="T47" s="114"/>
      <c r="U47" s="120"/>
      <c r="V47" s="114"/>
      <c r="W47" s="121"/>
      <c r="X47" s="114"/>
      <c r="Z47" s="114"/>
    </row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C2:H44"/>
  <sheetViews>
    <sheetView workbookViewId="0">
      <selection activeCell="D24" sqref="D24"/>
    </sheetView>
  </sheetViews>
  <sheetFormatPr defaultRowHeight="12.75"/>
  <cols>
    <col min="1" max="2" width="9.140625" style="91"/>
    <col min="3" max="3" width="12.7109375" style="91" customWidth="1"/>
    <col min="4" max="4" width="9.140625" style="91"/>
    <col min="5" max="5" width="10.140625" style="96" customWidth="1"/>
    <col min="6" max="16384" width="9.140625" style="91"/>
  </cols>
  <sheetData>
    <row r="2" spans="3:7">
      <c r="D2" s="96" t="s">
        <v>239</v>
      </c>
      <c r="E2" s="96">
        <v>1.05</v>
      </c>
    </row>
    <row r="3" spans="3:7">
      <c r="D3" s="96" t="s">
        <v>89</v>
      </c>
      <c r="E3" s="96">
        <v>50</v>
      </c>
    </row>
    <row r="6" spans="3:7">
      <c r="E6" s="332" t="s">
        <v>146</v>
      </c>
      <c r="F6" s="95" t="s">
        <v>144</v>
      </c>
      <c r="G6" s="91" t="s">
        <v>964</v>
      </c>
    </row>
    <row r="7" spans="3:7">
      <c r="C7" s="1134" t="s">
        <v>123</v>
      </c>
      <c r="D7" s="1135">
        <v>1</v>
      </c>
      <c r="E7" s="1136">
        <f>[9]!cp_($D7,$E$2,$E$3+273.15)</f>
        <v>2.1815747459295092</v>
      </c>
      <c r="F7" s="1136">
        <f>[9]!Cv_($D7,$E$2,$E$3+273.15)</f>
        <v>1.6729237284531204</v>
      </c>
      <c r="G7" s="1137">
        <f>E7/F7</f>
        <v>1.3040491379405061</v>
      </c>
    </row>
    <row r="8" spans="3:7">
      <c r="C8" s="1131" t="s">
        <v>3</v>
      </c>
      <c r="D8" s="1132">
        <v>2</v>
      </c>
      <c r="E8" s="1133">
        <f t="shared" ref="E8:E44" si="0">[9]!cp_(D8,$E$2,$E$3+273.15)</f>
        <v>0.52140673275899341</v>
      </c>
      <c r="F8" s="1133">
        <f t="shared" ref="F8:F44" si="1">[9]!Cv_($D8,$E$2,$E$3+273.15)</f>
        <v>0.31236679323324018</v>
      </c>
      <c r="G8" s="1138">
        <f t="shared" ref="G8:G44" si="2">E8/F8</f>
        <v>1.6692130663507048</v>
      </c>
    </row>
    <row r="9" spans="3:7">
      <c r="C9" s="1125" t="s">
        <v>126</v>
      </c>
      <c r="D9" s="1126">
        <v>3</v>
      </c>
      <c r="E9" s="1127">
        <f t="shared" si="0"/>
        <v>1.8067775766665781</v>
      </c>
      <c r="F9" s="1127">
        <f t="shared" si="1"/>
        <v>1.6494942017810563</v>
      </c>
      <c r="G9" s="1139">
        <f t="shared" si="2"/>
        <v>1.0953524872750044</v>
      </c>
    </row>
    <row r="10" spans="3:7">
      <c r="C10" s="1125" t="s">
        <v>129</v>
      </c>
      <c r="D10" s="1126">
        <v>4</v>
      </c>
      <c r="E10" s="1127">
        <f t="shared" si="0"/>
        <v>1.8339493546839472</v>
      </c>
      <c r="F10" s="1127">
        <f t="shared" si="1"/>
        <v>1.6739508133958998</v>
      </c>
      <c r="G10" s="1139">
        <f t="shared" si="2"/>
        <v>1.0955813874623128</v>
      </c>
    </row>
    <row r="11" spans="3:7">
      <c r="C11" s="1125" t="s">
        <v>132</v>
      </c>
      <c r="D11" s="1126">
        <v>5</v>
      </c>
      <c r="E11" s="1127">
        <f t="shared" si="0"/>
        <v>0.87369937014839683</v>
      </c>
      <c r="F11" s="1127">
        <f t="shared" si="1"/>
        <v>0.68120898380506956</v>
      </c>
      <c r="G11" s="1139">
        <f t="shared" si="2"/>
        <v>1.2825717084177637</v>
      </c>
    </row>
    <row r="12" spans="3:7">
      <c r="C12" s="1125" t="s">
        <v>135</v>
      </c>
      <c r="D12" s="1126">
        <v>6</v>
      </c>
      <c r="E12" s="1127">
        <f t="shared" si="0"/>
        <v>1.0399038346336014</v>
      </c>
      <c r="F12" s="1127">
        <f t="shared" si="1"/>
        <v>0.74172491955908826</v>
      </c>
      <c r="G12" s="1139">
        <f t="shared" si="2"/>
        <v>1.4020074116584391</v>
      </c>
    </row>
    <row r="13" spans="3:7">
      <c r="C13" s="1125" t="s">
        <v>138</v>
      </c>
      <c r="D13" s="1126">
        <v>7</v>
      </c>
      <c r="E13" s="1127">
        <f t="shared" si="0"/>
        <v>7.2511877284955837</v>
      </c>
      <c r="F13" s="1127">
        <f t="shared" si="1"/>
        <v>5.1865167049742533</v>
      </c>
      <c r="G13" s="1139">
        <f t="shared" si="2"/>
        <v>1.3980843292264262</v>
      </c>
    </row>
    <row r="14" spans="3:7">
      <c r="C14" s="1125" t="s">
        <v>16</v>
      </c>
      <c r="D14" s="1126">
        <v>8</v>
      </c>
      <c r="E14" s="1127">
        <f t="shared" si="0"/>
        <v>1.8579610372668502</v>
      </c>
      <c r="F14" s="1127">
        <f t="shared" si="1"/>
        <v>1.5740472066410527</v>
      </c>
      <c r="G14" s="1139">
        <f t="shared" si="2"/>
        <v>1.1803718652324648</v>
      </c>
    </row>
    <row r="15" spans="3:7">
      <c r="C15" s="1125" t="s">
        <v>143</v>
      </c>
      <c r="D15" s="1126">
        <v>9</v>
      </c>
      <c r="E15" s="1127">
        <f t="shared" si="0"/>
        <v>1.6235472550055681</v>
      </c>
      <c r="F15" s="1127">
        <f t="shared" si="1"/>
        <v>1.3211546149869726</v>
      </c>
      <c r="G15" s="1139">
        <f t="shared" si="2"/>
        <v>1.2288851256229214</v>
      </c>
    </row>
    <row r="16" spans="3:7">
      <c r="C16" s="1125" t="s">
        <v>143</v>
      </c>
      <c r="D16" s="1126">
        <v>10</v>
      </c>
      <c r="E16" s="1127">
        <f t="shared" si="0"/>
        <v>1.6237430273888402</v>
      </c>
      <c r="F16" s="1127">
        <f t="shared" si="1"/>
        <v>1.3213043635663333</v>
      </c>
      <c r="G16" s="1139">
        <f t="shared" si="2"/>
        <v>1.2288940172771357</v>
      </c>
    </row>
    <row r="17" spans="3:8">
      <c r="C17" s="1128" t="s">
        <v>21</v>
      </c>
      <c r="D17" s="1129">
        <v>11</v>
      </c>
      <c r="E17" s="1130">
        <f t="shared" si="0"/>
        <v>5.1929746904477803</v>
      </c>
      <c r="F17" s="1130">
        <f t="shared" si="1"/>
        <v>3.1160065199360765</v>
      </c>
      <c r="G17" s="1140">
        <f t="shared" si="2"/>
        <v>1.6665480823686825</v>
      </c>
      <c r="H17" s="91" t="s">
        <v>965</v>
      </c>
    </row>
    <row r="18" spans="3:8">
      <c r="C18" s="1125" t="s">
        <v>150</v>
      </c>
      <c r="D18" s="1126">
        <v>12</v>
      </c>
      <c r="E18" s="1127">
        <f t="shared" si="0"/>
        <v>14.353430188264333</v>
      </c>
      <c r="F18" s="1127">
        <f t="shared" si="1"/>
        <v>10.227771720849432</v>
      </c>
      <c r="G18" s="1139">
        <f t="shared" si="2"/>
        <v>1.4033780358046806</v>
      </c>
    </row>
    <row r="19" spans="3:8">
      <c r="C19" s="1131" t="s">
        <v>153</v>
      </c>
      <c r="D19" s="1132">
        <v>13</v>
      </c>
      <c r="E19" s="1133">
        <f t="shared" si="0"/>
        <v>14.358800364673449</v>
      </c>
      <c r="F19" s="1133">
        <f t="shared" si="1"/>
        <v>10.233060034894987</v>
      </c>
      <c r="G19" s="1138">
        <f t="shared" si="2"/>
        <v>1.4031775750078264</v>
      </c>
      <c r="H19" s="91" t="s">
        <v>965</v>
      </c>
    </row>
    <row r="20" spans="3:8">
      <c r="C20" s="1125" t="s">
        <v>156</v>
      </c>
      <c r="D20" s="1126">
        <v>14</v>
      </c>
      <c r="E20" s="1127">
        <f t="shared" si="0"/>
        <v>14.22271377105087</v>
      </c>
      <c r="F20" s="1127">
        <f t="shared" si="1"/>
        <v>10.097055303635969</v>
      </c>
      <c r="G20" s="1139">
        <f t="shared" si="2"/>
        <v>1.408600165429345</v>
      </c>
    </row>
    <row r="21" spans="3:8">
      <c r="C21" s="1125" t="s">
        <v>159</v>
      </c>
      <c r="D21" s="1126">
        <v>15</v>
      </c>
      <c r="E21" s="1127">
        <f t="shared" si="0"/>
        <v>14.752287453344509</v>
      </c>
      <c r="F21" s="1127">
        <f t="shared" si="1"/>
        <v>10.626628985929608</v>
      </c>
      <c r="G21" s="1139">
        <f t="shared" si="2"/>
        <v>1.3882377443380736</v>
      </c>
    </row>
    <row r="22" spans="3:8">
      <c r="C22" s="1125" t="s">
        <v>23</v>
      </c>
      <c r="D22" s="1126">
        <v>16</v>
      </c>
      <c r="E22" s="1127">
        <f t="shared" si="0"/>
        <v>1.0222574734780199</v>
      </c>
      <c r="F22" s="1127">
        <f t="shared" si="1"/>
        <v>0.77123826014285846</v>
      </c>
      <c r="G22" s="1139">
        <f t="shared" si="2"/>
        <v>1.3254755713087476</v>
      </c>
    </row>
    <row r="23" spans="3:8">
      <c r="C23" s="1125" t="s">
        <v>27</v>
      </c>
      <c r="D23" s="1126">
        <v>17</v>
      </c>
      <c r="E23" s="1127">
        <f t="shared" si="0"/>
        <v>0.24897349560528617</v>
      </c>
      <c r="F23" s="1127">
        <f t="shared" si="1"/>
        <v>0.14894561323275929</v>
      </c>
      <c r="G23" s="1139">
        <f t="shared" si="2"/>
        <v>1.6715732017982428</v>
      </c>
    </row>
    <row r="24" spans="3:8">
      <c r="C24" s="1134" t="s">
        <v>163</v>
      </c>
      <c r="D24" s="1135">
        <v>18</v>
      </c>
      <c r="E24" s="1136">
        <f t="shared" si="0"/>
        <v>2.2937337561290967</v>
      </c>
      <c r="F24" s="1136">
        <f t="shared" si="1"/>
        <v>1.7713074343665605</v>
      </c>
      <c r="G24" s="1137">
        <f t="shared" si="2"/>
        <v>1.2949382538719834</v>
      </c>
      <c r="H24" s="91" t="s">
        <v>965</v>
      </c>
    </row>
    <row r="25" spans="3:8">
      <c r="C25" s="1125" t="s">
        <v>163</v>
      </c>
      <c r="D25" s="1126">
        <v>19</v>
      </c>
      <c r="E25" s="1127">
        <f t="shared" si="0"/>
        <v>2.2938556225079161</v>
      </c>
      <c r="F25" s="1127">
        <f t="shared" si="1"/>
        <v>1.7714028958759642</v>
      </c>
      <c r="G25" s="1139">
        <f t="shared" si="2"/>
        <v>1.2949372657390839</v>
      </c>
    </row>
    <row r="26" spans="3:8">
      <c r="C26" s="1125" t="s">
        <v>166</v>
      </c>
      <c r="D26" s="1126">
        <v>20</v>
      </c>
      <c r="E26" s="1127">
        <f t="shared" si="0"/>
        <v>1.0302884926471205</v>
      </c>
      <c r="F26" s="1127">
        <f t="shared" si="1"/>
        <v>0.61809450467893901</v>
      </c>
      <c r="G26" s="1139">
        <f t="shared" si="2"/>
        <v>1.6668785838539208</v>
      </c>
    </row>
    <row r="27" spans="3:8">
      <c r="C27" s="1125" t="s">
        <v>168</v>
      </c>
      <c r="D27" s="1126">
        <v>21</v>
      </c>
      <c r="E27" s="1127">
        <f t="shared" si="0"/>
        <v>1.0408256869507362</v>
      </c>
      <c r="F27" s="1127">
        <f t="shared" si="1"/>
        <v>0.74282144229451408</v>
      </c>
      <c r="G27" s="1139">
        <f t="shared" si="2"/>
        <v>1.401178840147252</v>
      </c>
    </row>
    <row r="28" spans="3:8">
      <c r="C28" s="1131" t="s">
        <v>168</v>
      </c>
      <c r="D28" s="1132">
        <v>22</v>
      </c>
      <c r="E28" s="1133">
        <f t="shared" si="0"/>
        <v>1.0401917910714469</v>
      </c>
      <c r="F28" s="1133">
        <f t="shared" si="1"/>
        <v>0.7421861940781308</v>
      </c>
      <c r="G28" s="1138">
        <f t="shared" si="2"/>
        <v>1.4015240371905175</v>
      </c>
    </row>
    <row r="29" spans="3:8">
      <c r="C29" s="1125" t="s">
        <v>171</v>
      </c>
      <c r="D29" s="1126">
        <v>23</v>
      </c>
      <c r="E29" s="1127">
        <f t="shared" si="0"/>
        <v>0.78704417773839574</v>
      </c>
      <c r="F29" s="1127">
        <f t="shared" si="1"/>
        <v>0.66823839745416125</v>
      </c>
      <c r="G29" s="1139">
        <f t="shared" si="2"/>
        <v>1.1777895145457937</v>
      </c>
    </row>
    <row r="30" spans="3:8">
      <c r="C30" s="1131" t="s">
        <v>173</v>
      </c>
      <c r="D30" s="1132">
        <v>24</v>
      </c>
      <c r="E30" s="1133">
        <f t="shared" si="0"/>
        <v>0.92369410587990075</v>
      </c>
      <c r="F30" s="1133">
        <f t="shared" si="1"/>
        <v>0.66265578566954186</v>
      </c>
      <c r="G30" s="1138">
        <f t="shared" si="2"/>
        <v>1.3939274746490109</v>
      </c>
    </row>
    <row r="31" spans="3:8">
      <c r="C31" s="1125" t="s">
        <v>173</v>
      </c>
      <c r="D31" s="1126">
        <v>25</v>
      </c>
      <c r="E31" s="1127">
        <f t="shared" si="0"/>
        <v>0</v>
      </c>
      <c r="F31" s="1127">
        <f t="shared" si="1"/>
        <v>0</v>
      </c>
      <c r="G31" s="1139" t="e">
        <f t="shared" si="2"/>
        <v>#DIV/0!</v>
      </c>
    </row>
    <row r="32" spans="3:8">
      <c r="C32" s="1125" t="s">
        <v>43</v>
      </c>
      <c r="D32" s="1126">
        <v>26</v>
      </c>
      <c r="E32" s="1127">
        <f t="shared" si="0"/>
        <v>1.803052414849772</v>
      </c>
      <c r="F32" s="1127">
        <f t="shared" si="1"/>
        <v>1.6036093944334875</v>
      </c>
      <c r="G32" s="1139">
        <f t="shared" si="2"/>
        <v>1.1243713220367746</v>
      </c>
    </row>
    <row r="33" spans="3:7">
      <c r="C33" s="1125" t="s">
        <v>177</v>
      </c>
      <c r="D33" s="1126">
        <v>27</v>
      </c>
      <c r="E33" s="1127">
        <f t="shared" si="0"/>
        <v>4.1806502495508875</v>
      </c>
      <c r="F33" s="1127">
        <f t="shared" si="1"/>
        <v>4.0258650739273136</v>
      </c>
      <c r="G33" s="1139">
        <f t="shared" si="2"/>
        <v>1.0384476808788272</v>
      </c>
    </row>
    <row r="34" spans="3:7">
      <c r="C34" s="1125" t="s">
        <v>179</v>
      </c>
      <c r="D34" s="1126">
        <v>28</v>
      </c>
      <c r="E34" s="1127">
        <f t="shared" si="0"/>
        <v>0.15969935162643789</v>
      </c>
      <c r="F34" s="1127">
        <f t="shared" si="1"/>
        <v>9.5277790161891265E-2</v>
      </c>
      <c r="G34" s="1139">
        <f t="shared" si="2"/>
        <v>1.67614458054794</v>
      </c>
    </row>
    <row r="35" spans="3:7">
      <c r="C35" s="1125" t="s">
        <v>181</v>
      </c>
      <c r="D35" s="1126">
        <v>29</v>
      </c>
      <c r="E35" s="1127">
        <f t="shared" si="0"/>
        <v>0.60456667787931784</v>
      </c>
      <c r="F35" s="1127">
        <f t="shared" si="1"/>
        <v>0.53589368016417971</v>
      </c>
      <c r="G35" s="1139">
        <f t="shared" si="2"/>
        <v>1.1281466833012457</v>
      </c>
    </row>
    <row r="36" spans="3:7">
      <c r="C36" s="1125" t="s">
        <v>183</v>
      </c>
      <c r="D36" s="1126">
        <v>30</v>
      </c>
      <c r="E36" s="1127">
        <f t="shared" si="0"/>
        <v>0.63374622972140759</v>
      </c>
      <c r="F36" s="1127">
        <f t="shared" si="1"/>
        <v>0.5601812620028791</v>
      </c>
      <c r="G36" s="1139">
        <f t="shared" si="2"/>
        <v>1.1313235067083525</v>
      </c>
    </row>
    <row r="37" spans="3:7">
      <c r="C37" s="1125" t="s">
        <v>185</v>
      </c>
      <c r="D37" s="1126">
        <v>31</v>
      </c>
      <c r="E37" s="1127">
        <f t="shared" si="0"/>
        <v>0.68297482180525682</v>
      </c>
      <c r="F37" s="1127">
        <f t="shared" si="1"/>
        <v>0.58169261866824595</v>
      </c>
      <c r="G37" s="1139">
        <f t="shared" si="2"/>
        <v>1.1741163629837543</v>
      </c>
    </row>
    <row r="38" spans="3:7">
      <c r="C38" s="1125" t="s">
        <v>186</v>
      </c>
      <c r="D38" s="1126">
        <v>32</v>
      </c>
      <c r="E38" s="1127">
        <f t="shared" si="0"/>
        <v>0.87665007308692666</v>
      </c>
      <c r="F38" s="1127">
        <f t="shared" si="1"/>
        <v>0.70856492565458662</v>
      </c>
      <c r="G38" s="1139">
        <f t="shared" si="2"/>
        <v>1.2372191190201232</v>
      </c>
    </row>
    <row r="39" spans="3:7">
      <c r="C39" s="1125" t="s">
        <v>187</v>
      </c>
      <c r="D39" s="1126">
        <v>33</v>
      </c>
      <c r="E39" s="1127">
        <f t="shared" si="0"/>
        <v>0.71908703513001271</v>
      </c>
      <c r="F39" s="1127">
        <f t="shared" si="1"/>
        <v>0.65401049969623604</v>
      </c>
      <c r="G39" s="1139">
        <f t="shared" si="2"/>
        <v>1.0995038083700528</v>
      </c>
    </row>
    <row r="40" spans="3:7">
      <c r="C40" s="1125" t="s">
        <v>188</v>
      </c>
      <c r="D40" s="1126">
        <v>34</v>
      </c>
      <c r="E40" s="1127">
        <f t="shared" si="0"/>
        <v>0.7725260184650582</v>
      </c>
      <c r="F40" s="1127">
        <f t="shared" si="1"/>
        <v>0.70409228378456001</v>
      </c>
      <c r="G40" s="1139">
        <f t="shared" si="2"/>
        <v>1.0971942687862741</v>
      </c>
    </row>
    <row r="41" spans="3:7">
      <c r="C41" s="1125" t="s">
        <v>189</v>
      </c>
      <c r="D41" s="1126">
        <v>35</v>
      </c>
      <c r="E41" s="1127">
        <f t="shared" si="0"/>
        <v>0.84970987484425431</v>
      </c>
      <c r="F41" s="1127">
        <f t="shared" si="1"/>
        <v>0.77627222801239681</v>
      </c>
      <c r="G41" s="1139">
        <f t="shared" si="2"/>
        <v>1.0946029552285939</v>
      </c>
    </row>
    <row r="42" spans="3:7">
      <c r="C42" s="1125" t="s">
        <v>190</v>
      </c>
      <c r="D42" s="1126">
        <v>36</v>
      </c>
      <c r="E42" s="1127">
        <f t="shared" si="0"/>
        <v>0.88982928641718573</v>
      </c>
      <c r="F42" s="1127">
        <f t="shared" si="1"/>
        <v>0.80125795600529837</v>
      </c>
      <c r="G42" s="1139">
        <f t="shared" si="2"/>
        <v>1.1105403444022734</v>
      </c>
    </row>
    <row r="43" spans="3:7">
      <c r="C43" s="1125" t="s">
        <v>190</v>
      </c>
      <c r="D43" s="1126">
        <v>37</v>
      </c>
      <c r="E43" s="1127">
        <f t="shared" si="0"/>
        <v>0.88877895196497403</v>
      </c>
      <c r="F43" s="1127">
        <f t="shared" si="1"/>
        <v>0.80041018121903762</v>
      </c>
      <c r="G43" s="1139">
        <f t="shared" si="2"/>
        <v>1.1104043561906589</v>
      </c>
    </row>
    <row r="44" spans="3:7">
      <c r="C44" s="1125" t="s">
        <v>191</v>
      </c>
      <c r="D44" s="1126">
        <v>38</v>
      </c>
      <c r="E44" s="1127">
        <f t="shared" si="0"/>
        <v>1.1071992860963726</v>
      </c>
      <c r="F44" s="1127">
        <f t="shared" si="1"/>
        <v>0.97020345319161572</v>
      </c>
      <c r="G44" s="1139">
        <f t="shared" si="2"/>
        <v>1.1412032006834139</v>
      </c>
    </row>
  </sheetData>
  <phoneticPr fontId="12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2"/>
  <sheetViews>
    <sheetView workbookViewId="0">
      <pane ySplit="16" topLeftCell="A17" activePane="bottomLeft" state="frozen"/>
      <selection activeCell="C23" sqref="C23"/>
      <selection pane="bottomLeft" activeCell="C26" sqref="C26"/>
    </sheetView>
  </sheetViews>
  <sheetFormatPr defaultRowHeight="12.75"/>
  <cols>
    <col min="3" max="4" width="15.7109375" customWidth="1"/>
    <col min="5" max="5" width="12.7109375" customWidth="1"/>
    <col min="6" max="6" width="4.85546875" customWidth="1"/>
    <col min="7" max="7" width="5" customWidth="1"/>
    <col min="9" max="9" width="11.42578125" customWidth="1"/>
  </cols>
  <sheetData>
    <row r="1" spans="1:7" ht="15.75">
      <c r="A1" s="1271" t="s">
        <v>193</v>
      </c>
      <c r="B1" s="1271"/>
      <c r="C1" s="1271"/>
      <c r="D1" s="1271"/>
      <c r="E1" s="1271"/>
      <c r="F1" s="1271"/>
      <c r="G1" s="1271"/>
    </row>
    <row r="2" spans="1:7">
      <c r="A2" s="1272" t="s">
        <v>194</v>
      </c>
      <c r="B2" s="1272"/>
      <c r="C2" s="1272"/>
      <c r="D2" s="1272"/>
      <c r="E2" s="1272"/>
      <c r="F2" s="1272"/>
      <c r="G2" s="1272"/>
    </row>
    <row r="3" spans="1:7">
      <c r="A3" s="1273" t="s">
        <v>195</v>
      </c>
      <c r="B3" s="1273"/>
      <c r="C3" s="1273"/>
      <c r="D3" s="1273"/>
      <c r="E3" s="1273"/>
      <c r="F3" s="1273"/>
      <c r="G3" s="1273"/>
    </row>
    <row r="5" spans="1:7">
      <c r="C5" s="1272" t="s">
        <v>196</v>
      </c>
      <c r="D5" s="1272"/>
    </row>
    <row r="6" spans="1:7">
      <c r="C6" s="55" t="s">
        <v>197</v>
      </c>
      <c r="D6" s="55" t="s">
        <v>198</v>
      </c>
      <c r="E6" s="55" t="s">
        <v>199</v>
      </c>
    </row>
    <row r="7" spans="1:7">
      <c r="B7" s="56" t="s">
        <v>200</v>
      </c>
      <c r="C7" s="57">
        <v>1</v>
      </c>
      <c r="D7" s="57">
        <v>2</v>
      </c>
      <c r="E7" s="58" t="str">
        <f>[10]!heProperty(Input2)</f>
        <v xml:space="preserve"> Temperature </v>
      </c>
    </row>
    <row r="8" spans="1:7">
      <c r="B8" s="56" t="s">
        <v>88</v>
      </c>
      <c r="C8" s="59" t="str">
        <f>[10]!heProperty(Input1)</f>
        <v xml:space="preserve"> Pressure </v>
      </c>
      <c r="D8" s="59" t="str">
        <f>[10]!heProperty(Input2)</f>
        <v xml:space="preserve"> Temperature </v>
      </c>
    </row>
    <row r="9" spans="1:7">
      <c r="B9" s="56" t="s">
        <v>201</v>
      </c>
      <c r="C9" s="1061">
        <f>1.2*10^5</f>
        <v>120000</v>
      </c>
      <c r="D9" s="1061">
        <v>4.3</v>
      </c>
      <c r="E9" s="60" t="s">
        <v>202</v>
      </c>
      <c r="F9" s="57">
        <v>1</v>
      </c>
    </row>
    <row r="10" spans="1:7">
      <c r="B10" s="61" t="s">
        <v>203</v>
      </c>
      <c r="C10" s="62" t="str">
        <f>[10]!heunit(Input1,Units)</f>
        <v xml:space="preserve"> [Pa] </v>
      </c>
      <c r="D10" s="62" t="str">
        <f>[10]!heunit(Input2,Units)</f>
        <v xml:space="preserve"> [K] </v>
      </c>
      <c r="E10" s="60"/>
      <c r="F10" s="32"/>
    </row>
    <row r="11" spans="1:7">
      <c r="A11" s="14"/>
      <c r="B11" s="63"/>
      <c r="C11" s="64"/>
      <c r="D11" s="64"/>
      <c r="E11" s="65"/>
      <c r="F11" s="32"/>
    </row>
    <row r="12" spans="1:7" ht="13.5">
      <c r="B12" s="66">
        <v>2</v>
      </c>
      <c r="C12" s="67" t="s">
        <v>204</v>
      </c>
      <c r="D12" s="68"/>
      <c r="E12" s="69"/>
      <c r="F12" s="32"/>
    </row>
    <row r="13" spans="1:7">
      <c r="B13" s="70">
        <v>3</v>
      </c>
      <c r="C13" s="71"/>
      <c r="D13" s="72"/>
      <c r="E13" s="73"/>
      <c r="F13" s="32"/>
    </row>
    <row r="14" spans="1:7" ht="13.5" thickBot="1">
      <c r="D14" s="17"/>
    </row>
    <row r="15" spans="1:7" s="54" customFormat="1">
      <c r="B15" s="74" t="s">
        <v>205</v>
      </c>
      <c r="C15" s="75" t="s">
        <v>205</v>
      </c>
      <c r="D15" s="75"/>
      <c r="E15" s="76" t="s">
        <v>205</v>
      </c>
    </row>
    <row r="16" spans="1:7" s="54" customFormat="1" ht="13.5" thickBot="1">
      <c r="B16" s="77" t="s">
        <v>200</v>
      </c>
      <c r="C16" s="78" t="s">
        <v>88</v>
      </c>
      <c r="D16" s="79" t="s">
        <v>201</v>
      </c>
      <c r="E16" s="80" t="s">
        <v>203</v>
      </c>
    </row>
    <row r="17" spans="2:9" s="54" customFormat="1" ht="13.5">
      <c r="B17" s="81">
        <v>0</v>
      </c>
      <c r="C17" s="14" t="str">
        <f>[10]!heProperty(B17)</f>
        <v xml:space="preserve"> Quality </v>
      </c>
      <c r="D17" s="82">
        <f>[10]!HeCalc(B17,0,Input1,Value1,Input2,Value2,Units)</f>
        <v>-1</v>
      </c>
      <c r="E17" s="83" t="str">
        <f>[10]!heunit(B17,Units)</f>
        <v xml:space="preserve"> [-] </v>
      </c>
      <c r="H17" s="93">
        <f>D17</f>
        <v>-1</v>
      </c>
    </row>
    <row r="18" spans="2:9" ht="13.5">
      <c r="B18" s="84">
        <v>1</v>
      </c>
      <c r="C18" s="14" t="str">
        <f>[10]!heProperty(B18)</f>
        <v xml:space="preserve"> Pressure </v>
      </c>
      <c r="D18" s="82">
        <f>[10]!HeCalc(B18,0,Input1,Value1,Input2,Value2,Units)</f>
        <v>120000.00000086553</v>
      </c>
      <c r="E18" s="83" t="str">
        <f>[10]!heunit(B18,Units)</f>
        <v xml:space="preserve"> [Pa] </v>
      </c>
    </row>
    <row r="19" spans="2:9" ht="13.5">
      <c r="B19" s="84">
        <v>2</v>
      </c>
      <c r="C19" s="14" t="str">
        <f>[10]!heProperty(B19)</f>
        <v xml:space="preserve"> Temperature </v>
      </c>
      <c r="D19" s="82">
        <f>[10]!HeCalc(B19,0,Input1,Value1,Input2,Value2,Units)</f>
        <v>4.3</v>
      </c>
      <c r="E19" s="83" t="str">
        <f>[10]!heunit(B19,Units)</f>
        <v xml:space="preserve"> [K] </v>
      </c>
    </row>
    <row r="20" spans="2:9" ht="13.5">
      <c r="B20" s="84">
        <v>3</v>
      </c>
      <c r="C20" s="14" t="str">
        <f>[10]!heProperty(B20)</f>
        <v xml:space="preserve"> Density </v>
      </c>
      <c r="D20" s="82">
        <f>[10]!HeCalc(B20,0,Input1,Value1,Input2,Value2,Units)</f>
        <v>124.16830334961141</v>
      </c>
      <c r="E20" s="83" t="str">
        <f>[10]!heunit(B20,Units)</f>
        <v xml:space="preserve"> [kg/m3] </v>
      </c>
    </row>
    <row r="21" spans="2:9" ht="13.5">
      <c r="B21" s="84">
        <v>4</v>
      </c>
      <c r="C21" s="14" t="str">
        <f>[10]!heProperty(B21)</f>
        <v xml:space="preserve"> Specific Volume </v>
      </c>
      <c r="D21" s="82">
        <f>[10]!HeCalc(B21,0,Input1,Value1,Input2,Value2,Units)</f>
        <v>8.0535851181309515E-3</v>
      </c>
      <c r="E21" s="83" t="str">
        <f>[10]!heunit(B21,Units)</f>
        <v xml:space="preserve"> [m3/kg] </v>
      </c>
    </row>
    <row r="22" spans="2:9" ht="13.5">
      <c r="B22" s="84">
        <v>5</v>
      </c>
      <c r="C22" s="14" t="str">
        <f>[10]!heProperty(B22)</f>
        <v xml:space="preserve"> Z = PV/RT </v>
      </c>
      <c r="D22" s="82">
        <f>[10]!HeCalc(B22,0,Input1,Value1,Input2,Value2,Units)</f>
        <v>0.10819730967751783</v>
      </c>
      <c r="E22" s="83" t="str">
        <f>[10]!heunit(B22,Units)</f>
        <v xml:space="preserve"> [-] </v>
      </c>
    </row>
    <row r="23" spans="2:9" ht="13.5">
      <c r="B23" s="84">
        <v>6</v>
      </c>
      <c r="C23" s="14" t="str">
        <f>[10]!heProperty(B23)</f>
        <v xml:space="preserve"> DPTSat </v>
      </c>
      <c r="D23" s="82">
        <f>[10]!HeCalc(B23,0,Input1,Value1,Input2,Value2,Units)</f>
        <v>0</v>
      </c>
      <c r="E23" s="83" t="str">
        <f>[10]!heunit(B23,Units)</f>
        <v xml:space="preserve"> [Pa/K] </v>
      </c>
    </row>
    <row r="24" spans="2:9" ht="13.5">
      <c r="B24" s="497">
        <v>7</v>
      </c>
      <c r="C24" s="498" t="str">
        <f>[10]!heProperty(B24)</f>
        <v xml:space="preserve"> Latent Heat </v>
      </c>
      <c r="D24" s="499">
        <f>[10]!HeCalc(B24,0,Input1,Value1,Input2,Value2,Units)</f>
        <v>0</v>
      </c>
      <c r="E24" s="500" t="str">
        <f>[10]!heunit(B24,Units)</f>
        <v xml:space="preserve"> [J/kg] </v>
      </c>
      <c r="F24" s="85"/>
      <c r="G24" s="85"/>
    </row>
    <row r="25" spans="2:9" ht="13.5">
      <c r="B25" s="84">
        <v>8</v>
      </c>
      <c r="C25" s="14" t="str">
        <f>[10]!heProperty(B25)</f>
        <v xml:space="preserve"> Entropy </v>
      </c>
      <c r="D25" s="82">
        <f>[10]!HeCalc(B25,0,Input1,Value1,Input2,Value2,Units)</f>
        <v>3641.112501293926</v>
      </c>
      <c r="E25" s="83" t="str">
        <f>[10]!heunit(B25,Units)</f>
        <v xml:space="preserve"> [J/kg-K] </v>
      </c>
      <c r="F25" s="85"/>
    </row>
    <row r="26" spans="2:9" ht="13.5">
      <c r="B26" s="84">
        <v>9</v>
      </c>
      <c r="C26" s="14" t="str">
        <f>[10]!heProperty(B26)</f>
        <v xml:space="preserve"> Enthalpy </v>
      </c>
      <c r="D26" s="82">
        <f>[10]!HeCalc(B26,0,Input1,Value1,Input2,Value2,Units)</f>
        <v>10450.765595043842</v>
      </c>
      <c r="E26" s="83" t="str">
        <f>[10]!heunit(B26,Units)</f>
        <v xml:space="preserve"> [J/kg] </v>
      </c>
      <c r="F26" s="85"/>
      <c r="H26" s="82"/>
      <c r="I26">
        <v>9407.9237518543996</v>
      </c>
    </row>
    <row r="27" spans="2:9" ht="13.5">
      <c r="B27" s="84">
        <v>10</v>
      </c>
      <c r="C27" s="14" t="str">
        <f>[10]!heProperty(B27)</f>
        <v xml:space="preserve"> Helmholtz </v>
      </c>
      <c r="D27" s="82">
        <f>[10]!HeCalc(B27,0,Input1,Value1,Input2,Value2,Units)</f>
        <v>-6172.4483747027243</v>
      </c>
      <c r="E27" s="83" t="str">
        <f>[10]!heunit(B27,Units)</f>
        <v xml:space="preserve"> [J/kg] </v>
      </c>
      <c r="F27" s="85"/>
    </row>
    <row r="28" spans="2:9" ht="13.5">
      <c r="B28" s="84">
        <v>11</v>
      </c>
      <c r="C28" s="14" t="str">
        <f>[10]!heProperty(B28)</f>
        <v xml:space="preserve"> Internal Energy </v>
      </c>
      <c r="D28" s="82">
        <f>[10]!HeCalc(B28,0,Input1,Value1,Input2,Value2,Units)</f>
        <v>9484.3353808611573</v>
      </c>
      <c r="E28" s="83" t="str">
        <f>[10]!heunit(B28,Units)</f>
        <v xml:space="preserve"> [J/kg] </v>
      </c>
      <c r="F28" s="85"/>
    </row>
    <row r="29" spans="2:9" ht="13.5">
      <c r="B29" s="84">
        <v>12</v>
      </c>
      <c r="C29" s="14" t="str">
        <f>[10]!heProperty(B29)</f>
        <v xml:space="preserve"> Gibbs Energy </v>
      </c>
      <c r="D29" s="82">
        <f>[10]!HeCalc(B29,0,Input1,Value1,Input2,Value2,Units)</f>
        <v>-5206.0181605200396</v>
      </c>
      <c r="E29" s="83" t="str">
        <f>[10]!heunit(B29,Units)</f>
        <v xml:space="preserve"> [J/kg] </v>
      </c>
      <c r="F29" s="85"/>
    </row>
    <row r="30" spans="2:9" ht="13.5">
      <c r="B30" s="84">
        <v>13</v>
      </c>
      <c r="C30" s="14" t="str">
        <f>[10]!heProperty(B30)</f>
        <v xml:space="preserve"> Res. for Fugacity </v>
      </c>
      <c r="D30" s="82">
        <f>[10]!HeCalc(B30,0,Input1,Value1,Input2,Value2,Units)</f>
        <v>0</v>
      </c>
      <c r="E30" s="83"/>
      <c r="F30" s="85"/>
    </row>
    <row r="31" spans="2:9" ht="13.5">
      <c r="B31" s="84">
        <v>14</v>
      </c>
      <c r="C31" s="14" t="str">
        <f>[10]!heProperty(B31)</f>
        <v xml:space="preserve"> Cp </v>
      </c>
      <c r="D31" s="82">
        <f>[10]!HeCalc(B31,0,Input1,Value1,Input2,Value2,Units)</f>
        <v>5425.1470628853058</v>
      </c>
      <c r="E31" s="83" t="str">
        <f>[10]!heunit(B31,Units)</f>
        <v xml:space="preserve"> [J/kg-K] </v>
      </c>
      <c r="F31" s="85"/>
    </row>
    <row r="32" spans="2:9" ht="13.5">
      <c r="B32" s="84">
        <v>15</v>
      </c>
      <c r="C32" s="14" t="str">
        <f>[10]!heProperty(B32)</f>
        <v xml:space="preserve"> Cv </v>
      </c>
      <c r="D32" s="82">
        <f>[10]!HeCalc(B32,0,Input1,Value1,Input2,Value2,Units)</f>
        <v>2559.6906616530869</v>
      </c>
      <c r="E32" s="83" t="str">
        <f>[10]!heunit(B32,Units)</f>
        <v xml:space="preserve"> [J/kg-K] </v>
      </c>
      <c r="F32" s="85"/>
    </row>
    <row r="33" spans="2:9" ht="13.5">
      <c r="B33" s="84">
        <v>16</v>
      </c>
      <c r="C33" s="14" t="str">
        <f>[10]!heProperty(B33)</f>
        <v xml:space="preserve"> Gamma </v>
      </c>
      <c r="D33" s="82">
        <f>[10]!HeCalc(B33,0,Input1,Value1,Input2,Value2,Units)</f>
        <v>2.1194541763033445</v>
      </c>
      <c r="E33" s="83" t="str">
        <f>[10]!heunit(B33,Units)</f>
        <v xml:space="preserve"> [-] </v>
      </c>
      <c r="F33" s="85"/>
    </row>
    <row r="34" spans="2:9" ht="13.5">
      <c r="B34" s="84">
        <v>17</v>
      </c>
      <c r="C34" s="14" t="str">
        <f>[10]!heProperty(B34)</f>
        <v xml:space="preserve"> Expansivity </v>
      </c>
      <c r="D34" s="82">
        <f>[10]!HeCalc(B34,0,Input1,Value1,Input2,Value2,Units)</f>
        <v>0.91537940368096737</v>
      </c>
      <c r="E34" s="83" t="str">
        <f>[10]!heunit(B34,Units)</f>
        <v xml:space="preserve"> [TdV/VdT] </v>
      </c>
      <c r="F34" s="85"/>
    </row>
    <row r="35" spans="2:9" ht="13.5">
      <c r="B35" s="84">
        <v>18</v>
      </c>
      <c r="C35" s="14" t="str">
        <f>[10]!heProperty(B35)</f>
        <v xml:space="preserve"> Gruneisen </v>
      </c>
      <c r="D35" s="82">
        <f>[10]!HeCalc(B35,0,Input1,Value1,Input2,Value2,Units)</f>
        <v>1.2229400965345538</v>
      </c>
      <c r="E35" s="83" t="str">
        <f>[10]!heunit(B35,Units)</f>
        <v xml:space="preserve"> [-] </v>
      </c>
      <c r="F35" s="85"/>
    </row>
    <row r="36" spans="2:9" ht="13.5">
      <c r="B36" s="84">
        <v>19</v>
      </c>
      <c r="C36" s="14" t="str">
        <f>[10]!heProperty(B36)</f>
        <v xml:space="preserve"> Compressibility </v>
      </c>
      <c r="D36" s="82">
        <f>[10]!HeCalc(B36,0,Input1,Value1,Input2,Value2,Units)</f>
        <v>5.4768300601225417E-7</v>
      </c>
      <c r="E36" s="83" t="str">
        <f>[10]!heunit(B36,Units)</f>
        <v xml:space="preserve"> [1/Pa] </v>
      </c>
      <c r="F36" s="85"/>
      <c r="I36">
        <f>[10]!HeCalc(19,0,1,Value1,2,Value2,1)</f>
        <v>5.4768300601225417E-7</v>
      </c>
    </row>
    <row r="37" spans="2:9" ht="13.5">
      <c r="B37" s="84">
        <v>20</v>
      </c>
      <c r="C37" s="14" t="str">
        <f>[10]!heProperty(B37)</f>
        <v xml:space="preserve"> Sound Velocity </v>
      </c>
      <c r="D37" s="82">
        <f>[10]!HeCalc(B37,0,Input1,Value1,Input2,Value2,Units)</f>
        <v>176.53954766001985</v>
      </c>
      <c r="E37" s="83" t="str">
        <f>[10]!heunit(B37,Units)</f>
        <v xml:space="preserve"> [m/s] </v>
      </c>
      <c r="F37" s="85"/>
      <c r="I37" t="e">
        <f>[10]!HeCalc(20,0,1,P,2,T,1)</f>
        <v>#VALUE!</v>
      </c>
    </row>
    <row r="38" spans="2:9" ht="13.5">
      <c r="B38" s="84">
        <v>21</v>
      </c>
      <c r="C38" s="14" t="str">
        <f>[10]!heProperty(B38)</f>
        <v xml:space="preserve"> JT Coefficient </v>
      </c>
      <c r="D38" s="82">
        <f>[10]!HeCalc(B38,0,Input1,Value1,Input2,Value2,Units)</f>
        <v>-1.2561856246526891E-7</v>
      </c>
      <c r="E38" s="83" t="str">
        <f>[10]!heunit(B38,Units)</f>
        <v xml:space="preserve"> [K/Pa] </v>
      </c>
      <c r="F38" s="85"/>
    </row>
    <row r="39" spans="2:9" ht="13.5">
      <c r="B39" s="84">
        <v>22</v>
      </c>
      <c r="C39" s="14" t="str">
        <f>[10]!heProperty(B39)</f>
        <v xml:space="preserve"> dPdD|T </v>
      </c>
      <c r="D39" s="82">
        <f>[10]!HeCalc(B39,0,Input1,Value1,Input2,Value2,Units)</f>
        <v>14704.82930768671</v>
      </c>
      <c r="E39" s="83" t="str">
        <f>[10]!heunit(B39,Units)</f>
        <v xml:space="preserve"> [Pa-m3/kg] </v>
      </c>
      <c r="F39" s="85"/>
    </row>
    <row r="40" spans="2:9" ht="13.5">
      <c r="B40" s="84">
        <v>23</v>
      </c>
      <c r="C40" s="14" t="str">
        <f>[10]!heProperty(B40)</f>
        <v xml:space="preserve"> dPdT|D </v>
      </c>
      <c r="D40" s="82">
        <f>[10]!HeCalc(B40,0,Input1,Value1,Input2,Value2,Units)</f>
        <v>388690.04287460766</v>
      </c>
      <c r="E40" s="83" t="str">
        <f>[10]!heunit(B40,Units)</f>
        <v xml:space="preserve"> [Pa/K] </v>
      </c>
      <c r="F40" s="85"/>
    </row>
    <row r="41" spans="2:9" ht="13.5">
      <c r="B41" s="84">
        <v>24</v>
      </c>
      <c r="C41" s="14" t="str">
        <f>[10]!heProperty(B41)</f>
        <v xml:space="preserve"> V*dHdV|P </v>
      </c>
      <c r="D41" s="82">
        <f>[10]!HeCalc(B41,0,Input1,Value1,Input2,Value2,Units)</f>
        <v>25484.65945005821</v>
      </c>
      <c r="E41" s="83" t="str">
        <f>[10]!heunit(B41,Units)</f>
        <v xml:space="preserve"> [J/kg] </v>
      </c>
      <c r="F41" s="85"/>
    </row>
    <row r="42" spans="2:9" ht="13.5">
      <c r="B42" s="84">
        <v>25</v>
      </c>
      <c r="C42" s="14" t="str">
        <f>[10]!heProperty(B42)</f>
        <v xml:space="preserve"> Viscosity </v>
      </c>
      <c r="D42" s="82">
        <f>[10]!HeCalc(B42,0,Input1,Value1,Input2,Value2,Units)</f>
        <v>3.1583291741916663E-6</v>
      </c>
      <c r="E42" s="83" t="str">
        <f>[10]!heunit(B42,Units)</f>
        <v xml:space="preserve"> [Pa-s] </v>
      </c>
      <c r="F42" s="85"/>
    </row>
    <row r="43" spans="2:9" ht="13.5">
      <c r="B43" s="84">
        <v>26</v>
      </c>
      <c r="C43" s="14" t="str">
        <f>[10]!heProperty(B43)</f>
        <v xml:space="preserve"> Conductivity </v>
      </c>
      <c r="D43" s="82">
        <f>[10]!HeCalc(B43,0,Input1,Value1,Input2,Value2,Units)</f>
        <v>1.8812871540279791E-2</v>
      </c>
      <c r="E43" s="83" t="str">
        <f>[10]!heunit(B43,Units)</f>
        <v xml:space="preserve"> [W/m-K] </v>
      </c>
      <c r="F43" s="85"/>
      <c r="I43">
        <f>[9]!lambda_(11,1,300)</f>
        <v>0.15597330279314289</v>
      </c>
    </row>
    <row r="44" spans="2:9" ht="13.5">
      <c r="B44" s="84">
        <v>27</v>
      </c>
      <c r="C44" s="14" t="str">
        <f>[10]!heProperty(B44)</f>
        <v xml:space="preserve"> Prandtl # </v>
      </c>
      <c r="D44" s="82">
        <f>[10]!HeCalc(B44,0,Input1,Value1,Input2,Value2,Units)</f>
        <v>0.91078069641334847</v>
      </c>
      <c r="E44" s="83" t="str">
        <f>[10]!heunit(B44,Units)</f>
        <v xml:space="preserve"> [-] </v>
      </c>
      <c r="F44" s="85"/>
    </row>
    <row r="45" spans="2:9" ht="13.5">
      <c r="B45" s="84">
        <v>28</v>
      </c>
      <c r="C45" s="14" t="str">
        <f>[10]!heProperty(B45)</f>
        <v xml:space="preserve"> Thermal Diff </v>
      </c>
      <c r="D45" s="82">
        <f>[10]!HeCalc(B45,0,Input1,Value1,Input2,Value2,Units)</f>
        <v>2.7927549338271232E-8</v>
      </c>
      <c r="E45" s="83" t="str">
        <f>[10]!heunit(B45,Units)</f>
        <v xml:space="preserve"> [m2/s] </v>
      </c>
      <c r="F45" s="85"/>
    </row>
    <row r="46" spans="2:9" ht="13.5">
      <c r="B46" s="84">
        <v>29</v>
      </c>
      <c r="C46" s="14" t="str">
        <f>[10]!heProperty(B46)</f>
        <v xml:space="preserve"> Surface Tension </v>
      </c>
      <c r="D46" s="82">
        <f>[10]!HeCalc(B46,0,Input1,Value1,Input2,Value2,Units)</f>
        <v>0</v>
      </c>
      <c r="E46" s="83" t="str">
        <f>[10]!heunit(B46,Units)</f>
        <v xml:space="preserve"> [N/m] </v>
      </c>
      <c r="F46" s="85"/>
    </row>
    <row r="47" spans="2:9" ht="13.5">
      <c r="B47" s="84">
        <v>30</v>
      </c>
      <c r="C47" s="14" t="str">
        <f>[10]!heProperty(B47)</f>
        <v xml:space="preserve"> Dielectric - 1 </v>
      </c>
      <c r="D47" s="82">
        <f>[10]!HeCalc(B47,0,Input1,Value1,Input2,Value2,Units)</f>
        <v>4.8633787972894187E-2</v>
      </c>
      <c r="E47" s="83" t="str">
        <f>[10]!heunit(B47,Units)</f>
        <v xml:space="preserve"> [-] </v>
      </c>
      <c r="F47" s="85"/>
    </row>
    <row r="48" spans="2:9" ht="13.5">
      <c r="B48" s="84">
        <v>31</v>
      </c>
      <c r="C48" s="14" t="str">
        <f>[10]!heProperty(B48)</f>
        <v xml:space="preserve"> Refraction - 1 </v>
      </c>
      <c r="D48" s="82">
        <f>[10]!HeCalc(B48,0,Input1,Value1,Input2,Value2,Units)</f>
        <v>2.4031400647372435E-2</v>
      </c>
      <c r="E48" s="83" t="str">
        <f>[10]!heunit(B48,Units)</f>
        <v xml:space="preserve"> [-] </v>
      </c>
      <c r="F48" s="85"/>
    </row>
    <row r="49" spans="2:6" ht="13.5">
      <c r="B49" s="84">
        <v>32</v>
      </c>
      <c r="C49" s="14" t="str">
        <f>[10]!heProperty(B49)</f>
        <v xml:space="preserve"> dT(P) </v>
      </c>
      <c r="D49" s="82">
        <f>[10]!HeCalc(B49,0,Input1,Value1,Input2,Value2,Units)</f>
        <v>0</v>
      </c>
      <c r="E49" s="83" t="str">
        <f>[10]!heunit(B49,Units)</f>
        <v xml:space="preserve"> [K] </v>
      </c>
      <c r="F49" s="85"/>
    </row>
    <row r="50" spans="2:6" ht="13.5">
      <c r="B50" s="84">
        <v>33</v>
      </c>
      <c r="C50" s="14" t="str">
        <f>[10]!heProperty(B50)</f>
        <v xml:space="preserve"> dT(V) </v>
      </c>
      <c r="D50" s="82">
        <f>[10]!HeCalc(B50,0,Input1,Value1,Input2,Value2,Units)</f>
        <v>0</v>
      </c>
      <c r="E50" s="83" t="str">
        <f>[10]!heunit(B50,Units)</f>
        <v xml:space="preserve"> [K] </v>
      </c>
      <c r="F50" s="85"/>
    </row>
    <row r="51" spans="2:6" ht="13.5">
      <c r="B51" s="84">
        <v>34</v>
      </c>
      <c r="C51" s="14" t="str">
        <f>[10]!heProperty(B51)</f>
        <v xml:space="preserve"> RhoS/Rho </v>
      </c>
      <c r="D51" s="82">
        <f>[10]!HeCalc(B51,0,Input1,Value1,Input2,Value2,Units)</f>
        <v>0</v>
      </c>
      <c r="E51" s="83" t="str">
        <f>[10]!heunit(B51,Units)</f>
        <v xml:space="preserve"> [-] </v>
      </c>
      <c r="F51" s="85"/>
    </row>
    <row r="52" spans="2:6" ht="13.5">
      <c r="B52" s="84">
        <v>35</v>
      </c>
      <c r="C52" s="14" t="str">
        <f>[10]!heProperty(B52)</f>
        <v xml:space="preserve"> 2nd Sound Vel. </v>
      </c>
      <c r="D52" s="82">
        <f>[10]!HeCalc(B52,0,Input1,Value1,Input2,Value2,Units)</f>
        <v>0</v>
      </c>
      <c r="E52" s="83" t="str">
        <f>[10]!heunit(B52,Units)</f>
        <v xml:space="preserve"> [m/s] </v>
      </c>
      <c r="F52" s="85"/>
    </row>
    <row r="53" spans="2:6" ht="13.5">
      <c r="B53" s="84">
        <v>36</v>
      </c>
      <c r="C53" s="14" t="str">
        <f>[10]!heProperty(B53)</f>
        <v xml:space="preserve"> 4th Sound Vel. </v>
      </c>
      <c r="D53" s="82">
        <f>[10]!HeCalc(B53,0,Input1,Value1,Input2,Value2,Units)</f>
        <v>0</v>
      </c>
      <c r="E53" s="83" t="str">
        <f>[10]!heunit(B53,Units)</f>
        <v xml:space="preserve"> [m/s] </v>
      </c>
      <c r="F53" s="85"/>
    </row>
    <row r="54" spans="2:6" ht="13.5">
      <c r="B54" s="84">
        <v>37</v>
      </c>
      <c r="C54" s="14" t="str">
        <f>[10]!heProperty(B54)</f>
        <v xml:space="preserve"> Gorter-Mellink </v>
      </c>
      <c r="D54" s="82">
        <f>[10]!HeCalc(B54,0,Input1,Value1,Input2,Value2,Units)</f>
        <v>0</v>
      </c>
      <c r="E54" s="83" t="str">
        <f>[10]!heunit(B54,Units)</f>
        <v xml:space="preserve"> [m-s/kg] </v>
      </c>
      <c r="F54" s="85"/>
    </row>
    <row r="55" spans="2:6" ht="13.5">
      <c r="B55" s="84">
        <v>38</v>
      </c>
      <c r="C55" s="14" t="str">
        <f>[10]!heProperty(B55)</f>
        <v xml:space="preserve"> SFTC </v>
      </c>
      <c r="D55" s="82">
        <f>[10]!HeCalc(B55,0,Input1,Value1,Input2,Value2,Units)</f>
        <v>0</v>
      </c>
      <c r="E55" s="83" t="str">
        <f>[10]!heunit(B55,Units)</f>
        <v xml:space="preserve"> [W3/m5-K] </v>
      </c>
      <c r="F55" s="85"/>
    </row>
    <row r="56" spans="2:6" ht="13.5">
      <c r="B56" s="84">
        <v>39</v>
      </c>
      <c r="C56" s="14" t="str">
        <f>[10]!heProperty(B56)</f>
        <v xml:space="preserve"> (T-Tlambda) </v>
      </c>
      <c r="D56" s="82">
        <f>[10]!HeCalc(B56,0,Input1,Value1,Input2,Value2,Units)</f>
        <v>0</v>
      </c>
      <c r="E56" s="83" t="str">
        <f>[10]!heunit(B56,Units)</f>
        <v xml:space="preserve"> [K] </v>
      </c>
      <c r="F56" s="85"/>
    </row>
    <row r="57" spans="2:6">
      <c r="B57" s="84">
        <v>40</v>
      </c>
      <c r="C57" s="14" t="s">
        <v>206</v>
      </c>
      <c r="D57" s="14"/>
      <c r="E57" s="83"/>
    </row>
    <row r="58" spans="2:6">
      <c r="B58" s="84">
        <v>41</v>
      </c>
      <c r="C58" s="14" t="str">
        <f>[10]!heProperty(B58)</f>
        <v xml:space="preserve"> Lambda line </v>
      </c>
      <c r="D58" s="14" t="s">
        <v>207</v>
      </c>
      <c r="E58" s="83" t="s">
        <v>208</v>
      </c>
    </row>
    <row r="59" spans="2:6">
      <c r="B59" s="84">
        <v>42</v>
      </c>
      <c r="C59" s="14" t="str">
        <f>[10]!heProperty(B59)</f>
        <v xml:space="preserve"> Melting line </v>
      </c>
      <c r="D59" s="14" t="s">
        <v>207</v>
      </c>
      <c r="E59" s="83" t="s">
        <v>208</v>
      </c>
    </row>
    <row r="60" spans="2:6">
      <c r="B60" s="84">
        <v>43</v>
      </c>
      <c r="C60" s="14" t="str">
        <f>[10]!heProperty(B60)</f>
        <v xml:space="preserve"> Saturated liquid </v>
      </c>
      <c r="D60" s="14" t="s">
        <v>207</v>
      </c>
      <c r="E60" s="83" t="s">
        <v>208</v>
      </c>
    </row>
    <row r="61" spans="2:6">
      <c r="B61" s="86">
        <v>44</v>
      </c>
      <c r="C61" s="71" t="str">
        <f>[10]!heProperty(B61)</f>
        <v xml:space="preserve"> Saturated vapor </v>
      </c>
      <c r="D61" s="71" t="s">
        <v>207</v>
      </c>
      <c r="E61" s="87" t="s">
        <v>208</v>
      </c>
    </row>
    <row r="62" spans="2:6">
      <c r="C62" s="14"/>
    </row>
  </sheetData>
  <mergeCells count="4">
    <mergeCell ref="A1:G1"/>
    <mergeCell ref="A2:G2"/>
    <mergeCell ref="A3:G3"/>
    <mergeCell ref="C5:D5"/>
  </mergeCells>
  <phoneticPr fontId="0" type="noConversion"/>
  <printOptions horizontalCentered="1"/>
  <pageMargins left="0.75" right="0.75" top="1" bottom="1" header="0" footer="0"/>
  <pageSetup scale="6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Feuil3"/>
  <dimension ref="A1:H54"/>
  <sheetViews>
    <sheetView topLeftCell="A4" workbookViewId="0">
      <selection activeCell="C18" sqref="C18"/>
    </sheetView>
  </sheetViews>
  <sheetFormatPr defaultColWidth="11.42578125" defaultRowHeight="12.75"/>
  <cols>
    <col min="1" max="1" width="11.42578125" customWidth="1"/>
    <col min="2" max="2" width="20.85546875" customWidth="1"/>
    <col min="3" max="3" width="21" bestFit="1" customWidth="1"/>
  </cols>
  <sheetData>
    <row r="1" spans="1:8" ht="20.25" thickBot="1">
      <c r="B1" s="1"/>
      <c r="C1" s="2" t="s">
        <v>0</v>
      </c>
      <c r="D1" s="2"/>
      <c r="E1" s="3"/>
    </row>
    <row r="2" spans="1:8">
      <c r="A2">
        <v>1</v>
      </c>
      <c r="B2" s="4">
        <v>1</v>
      </c>
      <c r="C2" s="5" t="s">
        <v>1</v>
      </c>
      <c r="D2" s="6" t="s">
        <v>2</v>
      </c>
      <c r="E2" s="4"/>
      <c r="H2" s="4">
        <v>1</v>
      </c>
    </row>
    <row r="3" spans="1:8">
      <c r="A3">
        <v>2</v>
      </c>
      <c r="B3" s="4">
        <v>2</v>
      </c>
      <c r="C3" s="5" t="s">
        <v>3</v>
      </c>
      <c r="D3" s="6" t="s">
        <v>4</v>
      </c>
      <c r="E3" s="4"/>
      <c r="H3" s="4">
        <v>2</v>
      </c>
    </row>
    <row r="4" spans="1:8">
      <c r="A4">
        <v>3</v>
      </c>
      <c r="B4" s="4">
        <v>21</v>
      </c>
      <c r="C4" s="5" t="s">
        <v>168</v>
      </c>
      <c r="D4" s="6" t="s">
        <v>6</v>
      </c>
      <c r="E4" s="4"/>
      <c r="H4" s="4">
        <v>21</v>
      </c>
    </row>
    <row r="5" spans="1:8">
      <c r="A5">
        <v>4</v>
      </c>
      <c r="B5" s="4">
        <v>22</v>
      </c>
      <c r="C5" s="5" t="s">
        <v>168</v>
      </c>
      <c r="D5" s="6" t="s">
        <v>7</v>
      </c>
      <c r="E5" s="4"/>
      <c r="H5" s="4">
        <v>22</v>
      </c>
    </row>
    <row r="6" spans="1:8">
      <c r="A6">
        <v>5</v>
      </c>
      <c r="B6" s="4">
        <v>4</v>
      </c>
      <c r="C6" s="5" t="s">
        <v>8</v>
      </c>
      <c r="D6" s="6" t="s">
        <v>9</v>
      </c>
      <c r="E6" s="4"/>
      <c r="H6" s="4">
        <v>4</v>
      </c>
    </row>
    <row r="7" spans="1:8">
      <c r="A7">
        <v>6</v>
      </c>
      <c r="B7" s="4">
        <v>7</v>
      </c>
      <c r="C7" s="5" t="s">
        <v>10</v>
      </c>
      <c r="D7" s="6" t="s">
        <v>11</v>
      </c>
      <c r="E7" s="4"/>
      <c r="H7" s="4">
        <v>7</v>
      </c>
    </row>
    <row r="8" spans="1:8">
      <c r="A8">
        <v>7</v>
      </c>
      <c r="B8" s="4">
        <v>5</v>
      </c>
      <c r="C8" s="5" t="s">
        <v>12</v>
      </c>
      <c r="D8" s="6" t="s">
        <v>13</v>
      </c>
      <c r="E8" s="4"/>
      <c r="H8" s="4">
        <v>5</v>
      </c>
    </row>
    <row r="9" spans="1:8">
      <c r="A9">
        <v>8</v>
      </c>
      <c r="B9" s="4">
        <v>27</v>
      </c>
      <c r="C9" s="5" t="s">
        <v>14</v>
      </c>
      <c r="D9" s="6" t="s">
        <v>15</v>
      </c>
      <c r="E9" s="4"/>
      <c r="H9" s="4">
        <v>27</v>
      </c>
    </row>
    <row r="10" spans="1:8">
      <c r="A10">
        <v>9</v>
      </c>
      <c r="B10" s="4">
        <v>8</v>
      </c>
      <c r="C10" s="5" t="s">
        <v>16</v>
      </c>
      <c r="D10" s="6" t="s">
        <v>17</v>
      </c>
      <c r="E10" s="4"/>
      <c r="H10" s="4">
        <v>8</v>
      </c>
    </row>
    <row r="11" spans="1:8">
      <c r="A11">
        <v>10</v>
      </c>
      <c r="B11" s="4">
        <v>9</v>
      </c>
      <c r="C11" s="5" t="s">
        <v>18</v>
      </c>
      <c r="D11" s="6" t="s">
        <v>19</v>
      </c>
      <c r="E11" s="4"/>
      <c r="H11" s="4">
        <v>9</v>
      </c>
    </row>
    <row r="12" spans="1:8">
      <c r="A12">
        <v>11</v>
      </c>
      <c r="B12" s="4">
        <v>10</v>
      </c>
      <c r="C12" s="5" t="s">
        <v>18</v>
      </c>
      <c r="D12" s="6" t="s">
        <v>20</v>
      </c>
      <c r="E12" s="4"/>
      <c r="H12" s="4">
        <v>10</v>
      </c>
    </row>
    <row r="13" spans="1:8">
      <c r="A13">
        <v>12</v>
      </c>
      <c r="B13" s="4">
        <v>11</v>
      </c>
      <c r="C13" s="5" t="s">
        <v>21</v>
      </c>
      <c r="D13" s="6" t="s">
        <v>22</v>
      </c>
      <c r="E13" s="4"/>
      <c r="H13" s="4">
        <v>11</v>
      </c>
    </row>
    <row r="14" spans="1:8">
      <c r="A14">
        <v>13</v>
      </c>
      <c r="B14" s="4">
        <v>16</v>
      </c>
      <c r="C14" s="5" t="s">
        <v>23</v>
      </c>
      <c r="D14" s="6" t="s">
        <v>24</v>
      </c>
      <c r="E14" s="4"/>
      <c r="H14" s="4">
        <v>16</v>
      </c>
    </row>
    <row r="15" spans="1:8">
      <c r="A15">
        <v>14</v>
      </c>
      <c r="B15" s="4">
        <v>3</v>
      </c>
      <c r="C15" s="5" t="s">
        <v>25</v>
      </c>
      <c r="D15" s="6" t="s">
        <v>26</v>
      </c>
      <c r="E15" s="4"/>
      <c r="H15" s="4">
        <v>3</v>
      </c>
    </row>
    <row r="16" spans="1:8">
      <c r="A16">
        <v>15</v>
      </c>
      <c r="B16" s="4">
        <v>17</v>
      </c>
      <c r="C16" s="5" t="s">
        <v>27</v>
      </c>
      <c r="D16" s="6" t="s">
        <v>28</v>
      </c>
      <c r="E16" s="4"/>
      <c r="H16" s="4">
        <v>17</v>
      </c>
    </row>
    <row r="17" spans="1:8">
      <c r="A17">
        <v>16</v>
      </c>
      <c r="B17" s="4">
        <v>18</v>
      </c>
      <c r="C17" s="5" t="s">
        <v>163</v>
      </c>
      <c r="D17" s="6" t="s">
        <v>29</v>
      </c>
      <c r="E17" s="4"/>
      <c r="H17" s="4">
        <v>18</v>
      </c>
    </row>
    <row r="18" spans="1:8">
      <c r="A18">
        <v>17</v>
      </c>
      <c r="B18" s="4">
        <v>19</v>
      </c>
      <c r="C18" s="5" t="s">
        <v>163</v>
      </c>
      <c r="D18" s="6" t="s">
        <v>30</v>
      </c>
      <c r="E18" s="4"/>
      <c r="H18" s="4">
        <v>19</v>
      </c>
    </row>
    <row r="19" spans="1:8">
      <c r="A19">
        <v>18</v>
      </c>
      <c r="B19" s="4">
        <v>6</v>
      </c>
      <c r="C19" s="5" t="s">
        <v>31</v>
      </c>
      <c r="D19" s="6" t="s">
        <v>32</v>
      </c>
      <c r="E19" s="4"/>
      <c r="H19" s="4">
        <v>6</v>
      </c>
    </row>
    <row r="20" spans="1:8">
      <c r="A20">
        <v>19</v>
      </c>
      <c r="B20" s="4">
        <v>20</v>
      </c>
      <c r="C20" s="5" t="s">
        <v>33</v>
      </c>
      <c r="D20" s="6" t="s">
        <v>34</v>
      </c>
      <c r="E20" s="4"/>
      <c r="H20" s="4">
        <v>20</v>
      </c>
    </row>
    <row r="21" spans="1:8">
      <c r="A21">
        <v>20</v>
      </c>
      <c r="B21" s="4">
        <v>23</v>
      </c>
      <c r="C21" s="5" t="s">
        <v>35</v>
      </c>
      <c r="D21" s="6" t="s">
        <v>36</v>
      </c>
      <c r="E21" s="4"/>
      <c r="H21" s="4">
        <v>23</v>
      </c>
    </row>
    <row r="22" spans="1:8">
      <c r="A22">
        <v>21</v>
      </c>
      <c r="B22" s="4">
        <v>13</v>
      </c>
      <c r="C22" s="5" t="s">
        <v>37</v>
      </c>
      <c r="D22" s="6" t="s">
        <v>38</v>
      </c>
      <c r="E22" s="4"/>
      <c r="H22" s="4">
        <v>13</v>
      </c>
    </row>
    <row r="23" spans="1:8">
      <c r="A23">
        <v>22</v>
      </c>
      <c r="B23" s="4">
        <v>24</v>
      </c>
      <c r="C23" s="5" t="s">
        <v>39</v>
      </c>
      <c r="D23" s="6" t="s">
        <v>40</v>
      </c>
      <c r="E23" s="4"/>
      <c r="H23" s="4">
        <v>24</v>
      </c>
    </row>
    <row r="24" spans="1:8">
      <c r="A24">
        <v>23</v>
      </c>
      <c r="B24" s="4">
        <v>25</v>
      </c>
      <c r="C24" s="5" t="s">
        <v>39</v>
      </c>
      <c r="D24" s="6" t="s">
        <v>41</v>
      </c>
      <c r="E24" s="4"/>
      <c r="H24" s="4">
        <v>25</v>
      </c>
    </row>
    <row r="25" spans="1:8">
      <c r="A25">
        <v>24</v>
      </c>
      <c r="B25" s="4">
        <v>15</v>
      </c>
      <c r="C25" s="5" t="s">
        <v>452</v>
      </c>
      <c r="D25" s="6" t="s">
        <v>42</v>
      </c>
      <c r="E25" s="4"/>
      <c r="H25" s="4">
        <v>15</v>
      </c>
    </row>
    <row r="26" spans="1:8">
      <c r="A26">
        <v>25</v>
      </c>
      <c r="B26" s="4">
        <v>26</v>
      </c>
      <c r="C26" s="5" t="s">
        <v>43</v>
      </c>
      <c r="D26" s="6" t="s">
        <v>44</v>
      </c>
      <c r="E26" s="4"/>
      <c r="H26" s="4">
        <v>26</v>
      </c>
    </row>
    <row r="27" spans="1:8">
      <c r="A27">
        <v>26</v>
      </c>
      <c r="B27" s="4">
        <v>29</v>
      </c>
      <c r="C27" s="5" t="s">
        <v>45</v>
      </c>
      <c r="D27" s="6" t="s">
        <v>46</v>
      </c>
      <c r="E27" s="4"/>
      <c r="H27" s="4">
        <v>29</v>
      </c>
    </row>
    <row r="28" spans="1:8">
      <c r="A28">
        <v>27</v>
      </c>
      <c r="B28" s="4">
        <v>30</v>
      </c>
      <c r="C28" s="5" t="s">
        <v>47</v>
      </c>
      <c r="D28" s="6" t="s">
        <v>48</v>
      </c>
      <c r="E28" s="4"/>
      <c r="H28" s="4">
        <v>30</v>
      </c>
    </row>
    <row r="29" spans="1:8">
      <c r="A29">
        <v>28</v>
      </c>
      <c r="B29" s="4">
        <v>33</v>
      </c>
      <c r="C29" s="5" t="s">
        <v>49</v>
      </c>
      <c r="D29" s="6" t="s">
        <v>50</v>
      </c>
      <c r="E29" s="4"/>
      <c r="H29" s="4">
        <v>33</v>
      </c>
    </row>
    <row r="30" spans="1:8">
      <c r="A30">
        <v>29</v>
      </c>
      <c r="B30" s="4">
        <v>34</v>
      </c>
      <c r="C30" s="5" t="s">
        <v>51</v>
      </c>
      <c r="D30" s="6" t="s">
        <v>52</v>
      </c>
      <c r="E30" s="4"/>
      <c r="H30" s="4">
        <v>34</v>
      </c>
    </row>
    <row r="31" spans="1:8">
      <c r="A31">
        <v>30</v>
      </c>
      <c r="B31" s="4">
        <v>35</v>
      </c>
      <c r="C31" s="5" t="s">
        <v>53</v>
      </c>
      <c r="D31" s="6" t="s">
        <v>54</v>
      </c>
      <c r="E31" s="4"/>
      <c r="H31" s="4">
        <v>35</v>
      </c>
    </row>
    <row r="32" spans="1:8">
      <c r="A32">
        <v>31</v>
      </c>
      <c r="B32" s="4">
        <v>36</v>
      </c>
      <c r="C32" s="5" t="s">
        <v>55</v>
      </c>
      <c r="D32" s="6" t="s">
        <v>56</v>
      </c>
      <c r="E32" s="4"/>
      <c r="H32" s="4">
        <v>36</v>
      </c>
    </row>
    <row r="33" spans="1:8">
      <c r="A33">
        <v>32</v>
      </c>
      <c r="B33" s="4">
        <v>37</v>
      </c>
      <c r="C33" s="5" t="s">
        <v>55</v>
      </c>
      <c r="D33" s="6" t="s">
        <v>57</v>
      </c>
      <c r="E33" s="4"/>
      <c r="H33" s="4">
        <v>37</v>
      </c>
    </row>
    <row r="34" spans="1:8">
      <c r="A34">
        <v>33</v>
      </c>
      <c r="B34" s="4">
        <v>38</v>
      </c>
      <c r="C34" s="5" t="s">
        <v>58</v>
      </c>
      <c r="D34" s="6" t="s">
        <v>59</v>
      </c>
      <c r="E34" s="4"/>
      <c r="H34" s="4">
        <v>38</v>
      </c>
    </row>
    <row r="35" spans="1:8">
      <c r="A35">
        <v>34</v>
      </c>
      <c r="B35" s="4">
        <v>31</v>
      </c>
      <c r="C35" s="5" t="s">
        <v>60</v>
      </c>
      <c r="D35" s="6" t="s">
        <v>61</v>
      </c>
      <c r="E35" s="4"/>
      <c r="H35" s="4">
        <v>31</v>
      </c>
    </row>
    <row r="36" spans="1:8">
      <c r="A36">
        <v>35</v>
      </c>
      <c r="B36" s="4">
        <v>32</v>
      </c>
      <c r="C36" s="5" t="s">
        <v>62</v>
      </c>
      <c r="D36" s="6" t="s">
        <v>63</v>
      </c>
      <c r="E36" s="4"/>
      <c r="H36" s="4">
        <v>32</v>
      </c>
    </row>
    <row r="37" spans="1:8">
      <c r="A37">
        <v>36</v>
      </c>
      <c r="B37" s="4">
        <v>50</v>
      </c>
      <c r="C37" s="5" t="s">
        <v>62</v>
      </c>
      <c r="D37" s="6" t="s">
        <v>64</v>
      </c>
      <c r="E37" s="4"/>
      <c r="H37" s="4">
        <v>50</v>
      </c>
    </row>
    <row r="38" spans="1:8">
      <c r="A38">
        <v>37</v>
      </c>
      <c r="B38" s="4">
        <v>28</v>
      </c>
      <c r="C38" s="7" t="s">
        <v>65</v>
      </c>
      <c r="D38" s="8" t="s">
        <v>66</v>
      </c>
      <c r="E38" s="4"/>
      <c r="H38" s="4">
        <v>28</v>
      </c>
    </row>
    <row r="39" spans="1:8">
      <c r="A39" s="9">
        <v>38</v>
      </c>
      <c r="B39" s="10" t="s">
        <v>67</v>
      </c>
      <c r="C39" s="9">
        <v>1.45</v>
      </c>
      <c r="D39" s="9">
        <v>10.6</v>
      </c>
      <c r="E39" s="11"/>
    </row>
    <row r="40" spans="1:8">
      <c r="A40" s="9">
        <v>39</v>
      </c>
      <c r="B40" s="10" t="s">
        <v>68</v>
      </c>
      <c r="C40" s="9">
        <v>1.8720000000000001</v>
      </c>
      <c r="D40" s="9">
        <v>13.6</v>
      </c>
      <c r="E40" s="11"/>
    </row>
    <row r="41" spans="1:8">
      <c r="A41" s="9">
        <v>40</v>
      </c>
      <c r="B41" s="10" t="s">
        <v>69</v>
      </c>
      <c r="C41" s="9">
        <v>6.2</v>
      </c>
      <c r="D41" s="9">
        <v>10.16</v>
      </c>
      <c r="E41" s="11"/>
    </row>
    <row r="42" spans="1:8">
      <c r="A42" s="9">
        <v>41</v>
      </c>
      <c r="B42" s="10" t="s">
        <v>70</v>
      </c>
      <c r="C42" s="9">
        <v>5.75</v>
      </c>
      <c r="D42" s="9">
        <v>11.99</v>
      </c>
      <c r="E42" s="11"/>
    </row>
    <row r="43" spans="1:8">
      <c r="A43" s="9">
        <v>42</v>
      </c>
      <c r="B43" s="10" t="s">
        <v>71</v>
      </c>
      <c r="C43" s="9">
        <v>4.2300000000000004</v>
      </c>
      <c r="D43" s="9">
        <v>11.8</v>
      </c>
      <c r="E43" s="11"/>
    </row>
    <row r="44" spans="1:8">
      <c r="A44" s="9">
        <v>43</v>
      </c>
      <c r="B44" s="10" t="s">
        <v>72</v>
      </c>
      <c r="C44" s="9">
        <v>1.36</v>
      </c>
      <c r="D44" s="9">
        <v>10.8</v>
      </c>
      <c r="E44" s="11"/>
    </row>
    <row r="45" spans="1:8">
      <c r="A45" s="9">
        <v>44</v>
      </c>
      <c r="B45" s="10" t="s">
        <v>73</v>
      </c>
      <c r="C45" s="9">
        <v>1.45</v>
      </c>
      <c r="D45" s="9">
        <v>11.79</v>
      </c>
      <c r="E45" s="11"/>
    </row>
    <row r="46" spans="1:8">
      <c r="A46" s="9">
        <v>45</v>
      </c>
      <c r="B46" s="10" t="s">
        <v>74</v>
      </c>
      <c r="C46" s="9">
        <v>1500</v>
      </c>
      <c r="D46" s="9">
        <v>567.5</v>
      </c>
      <c r="E46" s="11"/>
    </row>
    <row r="47" spans="1:8">
      <c r="A47" s="9">
        <v>46</v>
      </c>
      <c r="B47" s="10" t="s">
        <v>75</v>
      </c>
      <c r="C47" s="9">
        <v>1350</v>
      </c>
      <c r="D47" s="9">
        <v>260</v>
      </c>
      <c r="E47" s="11"/>
    </row>
    <row r="48" spans="1:8">
      <c r="A48" s="9">
        <v>47</v>
      </c>
      <c r="B48" s="10" t="s">
        <v>76</v>
      </c>
      <c r="C48" s="9">
        <v>1250</v>
      </c>
      <c r="D48" s="9">
        <v>210</v>
      </c>
      <c r="E48" s="11"/>
    </row>
    <row r="49" spans="1:5">
      <c r="A49" s="9">
        <v>48</v>
      </c>
      <c r="B49" s="10" t="s">
        <v>77</v>
      </c>
      <c r="C49" s="9">
        <v>1000</v>
      </c>
      <c r="D49" s="9">
        <v>193.2</v>
      </c>
      <c r="E49" s="11"/>
    </row>
    <row r="50" spans="1:5">
      <c r="A50" s="9">
        <v>49</v>
      </c>
      <c r="B50" s="10" t="s">
        <v>78</v>
      </c>
      <c r="C50" s="9">
        <v>1500</v>
      </c>
      <c r="D50" s="9">
        <v>569.6</v>
      </c>
      <c r="E50" s="11"/>
    </row>
    <row r="51" spans="1:5">
      <c r="A51" s="9">
        <v>50</v>
      </c>
      <c r="B51" s="10" t="s">
        <v>79</v>
      </c>
      <c r="C51" s="9">
        <v>1400</v>
      </c>
      <c r="D51" s="9">
        <v>346</v>
      </c>
      <c r="E51" s="11"/>
    </row>
    <row r="52" spans="1:5">
      <c r="A52" s="9">
        <v>51</v>
      </c>
      <c r="B52" s="10" t="s">
        <v>80</v>
      </c>
      <c r="C52" s="9">
        <v>1250</v>
      </c>
      <c r="D52" s="9">
        <v>205</v>
      </c>
      <c r="E52" s="11"/>
    </row>
    <row r="53" spans="1:5">
      <c r="A53" s="9">
        <v>52</v>
      </c>
      <c r="B53" s="10" t="s">
        <v>81</v>
      </c>
      <c r="C53" s="9">
        <v>950</v>
      </c>
      <c r="D53" s="9">
        <v>214</v>
      </c>
      <c r="E53" s="11"/>
    </row>
    <row r="54" spans="1:5">
      <c r="A54" s="12"/>
      <c r="B54" s="13"/>
      <c r="C54" s="12"/>
      <c r="D54" s="12"/>
      <c r="E54" s="12"/>
    </row>
  </sheetData>
  <phoneticPr fontId="0" type="noConversion"/>
  <pageMargins left="0.75" right="0.75" top="1" bottom="1" header="0.4921259845" footer="0.492125984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Feuil23"/>
  <dimension ref="A2:J56"/>
  <sheetViews>
    <sheetView workbookViewId="0">
      <selection activeCell="H27" sqref="H27:I27"/>
    </sheetView>
  </sheetViews>
  <sheetFormatPr defaultColWidth="11.42578125" defaultRowHeight="12.75"/>
  <cols>
    <col min="1" max="1" width="9.140625" style="17" bestFit="1" customWidth="1"/>
    <col min="2" max="2" width="9.7109375" style="17" customWidth="1"/>
    <col min="3" max="3" width="9.7109375" style="17" bestFit="1" customWidth="1"/>
    <col min="4" max="4" width="8.85546875" style="17" customWidth="1"/>
    <col min="5" max="5" width="11.140625" style="120" customWidth="1"/>
    <col min="6" max="6" width="9.85546875" customWidth="1"/>
    <col min="7" max="7" width="9.85546875" style="17" customWidth="1"/>
    <col min="8" max="8" width="11.42578125" style="17" customWidth="1"/>
    <col min="9" max="10" width="11.42578125" style="120" customWidth="1"/>
  </cols>
  <sheetData>
    <row r="2" spans="1:9">
      <c r="A2" s="631" t="s">
        <v>670</v>
      </c>
    </row>
    <row r="3" spans="1:9" ht="13.5" thickBot="1"/>
    <row r="4" spans="1:9" ht="16.5" thickTop="1" thickBot="1">
      <c r="B4" s="632"/>
      <c r="C4" s="1274" t="s">
        <v>671</v>
      </c>
      <c r="D4" s="1275"/>
      <c r="E4" s="1275"/>
      <c r="F4" s="1275"/>
      <c r="G4" s="1276"/>
      <c r="H4" s="1274" t="s">
        <v>672</v>
      </c>
      <c r="I4" s="1276"/>
    </row>
    <row r="5" spans="1:9" ht="30.75" thickTop="1" thickBot="1">
      <c r="B5" s="633" t="s">
        <v>673</v>
      </c>
      <c r="C5" s="634">
        <v>10</v>
      </c>
      <c r="D5" s="634">
        <v>10</v>
      </c>
      <c r="E5" s="634">
        <v>10</v>
      </c>
      <c r="F5" s="634">
        <v>10</v>
      </c>
      <c r="G5" s="635" t="s">
        <v>674</v>
      </c>
      <c r="H5" s="634">
        <v>10</v>
      </c>
      <c r="I5" s="635" t="s">
        <v>674</v>
      </c>
    </row>
    <row r="6" spans="1:9" ht="30" thickTop="1" thickBot="1">
      <c r="B6" s="633" t="s">
        <v>675</v>
      </c>
      <c r="C6" s="634">
        <v>-273</v>
      </c>
      <c r="D6" s="634">
        <v>38</v>
      </c>
      <c r="E6" s="634">
        <v>50</v>
      </c>
      <c r="F6" s="634">
        <v>100</v>
      </c>
      <c r="G6" s="634">
        <v>20</v>
      </c>
      <c r="H6" s="634">
        <v>100</v>
      </c>
      <c r="I6" s="634">
        <v>100</v>
      </c>
    </row>
    <row r="7" spans="1:9" ht="13.5" thickTop="1"/>
    <row r="8" spans="1:9" ht="13.5" thickBot="1"/>
    <row r="9" spans="1:9" ht="13.5" thickBot="1">
      <c r="B9" s="636" t="s">
        <v>676</v>
      </c>
      <c r="C9" s="637" t="s">
        <v>569</v>
      </c>
      <c r="D9" s="637" t="s">
        <v>677</v>
      </c>
      <c r="E9" s="638" t="s">
        <v>678</v>
      </c>
      <c r="F9" s="639" t="s">
        <v>679</v>
      </c>
    </row>
    <row r="10" spans="1:9">
      <c r="B10" s="640" t="s">
        <v>680</v>
      </c>
      <c r="C10" s="58">
        <v>10</v>
      </c>
      <c r="D10" s="58">
        <v>17.2</v>
      </c>
      <c r="E10" s="641">
        <v>1.6</v>
      </c>
      <c r="F10" s="642">
        <f t="shared" ref="F10:F23" si="0">D10-2*E10</f>
        <v>14</v>
      </c>
    </row>
    <row r="11" spans="1:9">
      <c r="B11" s="295" t="s">
        <v>681</v>
      </c>
      <c r="C11" s="643">
        <v>15</v>
      </c>
      <c r="D11" s="643">
        <v>21.3</v>
      </c>
      <c r="E11" s="154">
        <v>1.6</v>
      </c>
      <c r="F11" s="644">
        <f t="shared" si="0"/>
        <v>18.100000000000001</v>
      </c>
    </row>
    <row r="12" spans="1:9">
      <c r="B12" s="295" t="s">
        <v>682</v>
      </c>
      <c r="C12" s="643">
        <v>20</v>
      </c>
      <c r="D12" s="643">
        <v>26.9</v>
      </c>
      <c r="E12" s="154">
        <v>1.6</v>
      </c>
      <c r="F12" s="644">
        <f t="shared" si="0"/>
        <v>23.7</v>
      </c>
    </row>
    <row r="13" spans="1:9">
      <c r="B13" s="295" t="s">
        <v>683</v>
      </c>
      <c r="C13" s="643">
        <v>25</v>
      </c>
      <c r="D13" s="643">
        <v>33.700000000000003</v>
      </c>
      <c r="E13" s="154">
        <v>1.6</v>
      </c>
      <c r="F13" s="644">
        <f t="shared" si="0"/>
        <v>30.500000000000004</v>
      </c>
    </row>
    <row r="14" spans="1:9">
      <c r="B14" s="295" t="s">
        <v>684</v>
      </c>
      <c r="C14" s="643">
        <v>32</v>
      </c>
      <c r="D14" s="643">
        <v>42.4</v>
      </c>
      <c r="E14" s="154">
        <v>1.6</v>
      </c>
      <c r="F14" s="644">
        <f t="shared" si="0"/>
        <v>39.199999999999996</v>
      </c>
    </row>
    <row r="15" spans="1:9">
      <c r="B15" s="295" t="s">
        <v>685</v>
      </c>
      <c r="C15" s="643">
        <v>40</v>
      </c>
      <c r="D15" s="643">
        <v>48.3</v>
      </c>
      <c r="E15" s="154">
        <v>1.6</v>
      </c>
      <c r="F15" s="644">
        <f t="shared" si="0"/>
        <v>45.099999999999994</v>
      </c>
    </row>
    <row r="16" spans="1:9">
      <c r="B16" s="295" t="s">
        <v>686</v>
      </c>
      <c r="C16" s="643">
        <v>50</v>
      </c>
      <c r="D16" s="643">
        <v>60.3</v>
      </c>
      <c r="E16" s="154">
        <v>2</v>
      </c>
      <c r="F16" s="644">
        <f t="shared" si="0"/>
        <v>56.3</v>
      </c>
    </row>
    <row r="17" spans="1:9">
      <c r="B17" s="295" t="s">
        <v>687</v>
      </c>
      <c r="C17" s="643">
        <v>65</v>
      </c>
      <c r="D17" s="643">
        <v>76.099999999999994</v>
      </c>
      <c r="E17" s="154">
        <v>2.9</v>
      </c>
      <c r="F17" s="644">
        <f t="shared" si="0"/>
        <v>70.3</v>
      </c>
    </row>
    <row r="18" spans="1:9">
      <c r="B18" s="295" t="s">
        <v>688</v>
      </c>
      <c r="C18" s="643">
        <v>80</v>
      </c>
      <c r="D18" s="643">
        <v>86.9</v>
      </c>
      <c r="E18" s="154">
        <v>3.05</v>
      </c>
      <c r="F18" s="644">
        <f t="shared" si="0"/>
        <v>80.800000000000011</v>
      </c>
    </row>
    <row r="19" spans="1:9">
      <c r="B19" s="295" t="s">
        <v>689</v>
      </c>
      <c r="C19" s="643">
        <v>100</v>
      </c>
      <c r="D19" s="643">
        <v>114.3</v>
      </c>
      <c r="E19" s="154">
        <v>6.02</v>
      </c>
      <c r="F19" s="644">
        <f t="shared" si="0"/>
        <v>102.25999999999999</v>
      </c>
    </row>
    <row r="20" spans="1:9">
      <c r="B20" s="295" t="s">
        <v>690</v>
      </c>
      <c r="C20" s="643">
        <v>150</v>
      </c>
      <c r="D20" s="643">
        <v>168.3</v>
      </c>
      <c r="E20" s="154">
        <v>7.11</v>
      </c>
      <c r="F20" s="644">
        <f t="shared" si="0"/>
        <v>154.08000000000001</v>
      </c>
    </row>
    <row r="21" spans="1:9">
      <c r="B21" s="295" t="s">
        <v>691</v>
      </c>
      <c r="C21" s="643">
        <v>200</v>
      </c>
      <c r="D21" s="643">
        <v>219.1</v>
      </c>
      <c r="E21" s="154">
        <v>8.18</v>
      </c>
      <c r="F21" s="644">
        <f t="shared" si="0"/>
        <v>202.74</v>
      </c>
    </row>
    <row r="22" spans="1:9">
      <c r="B22" s="295" t="s">
        <v>692</v>
      </c>
      <c r="C22" s="643">
        <v>250</v>
      </c>
      <c r="D22" s="643">
        <v>273</v>
      </c>
      <c r="E22" s="154">
        <v>9.27</v>
      </c>
      <c r="F22" s="644">
        <f t="shared" si="0"/>
        <v>254.46</v>
      </c>
    </row>
    <row r="23" spans="1:9" ht="13.5" thickBot="1">
      <c r="B23" s="302" t="s">
        <v>693</v>
      </c>
      <c r="C23" s="645">
        <v>300</v>
      </c>
      <c r="D23" s="645">
        <v>323.89999999999998</v>
      </c>
      <c r="E23" s="646">
        <v>9.5299999999999994</v>
      </c>
      <c r="F23" s="647">
        <f t="shared" si="0"/>
        <v>304.83999999999997</v>
      </c>
    </row>
    <row r="25" spans="1:9">
      <c r="A25" s="631" t="s">
        <v>694</v>
      </c>
    </row>
    <row r="26" spans="1:9" ht="13.5" thickBot="1"/>
    <row r="27" spans="1:9" ht="16.5" thickTop="1" thickBot="1">
      <c r="B27" s="632"/>
      <c r="C27" s="1274" t="s">
        <v>671</v>
      </c>
      <c r="D27" s="1275"/>
      <c r="E27" s="1275"/>
      <c r="F27" s="1275"/>
      <c r="G27" s="1276"/>
      <c r="H27" s="1274" t="s">
        <v>672</v>
      </c>
      <c r="I27" s="1276"/>
    </row>
    <row r="28" spans="1:9" ht="30.75" thickTop="1" thickBot="1">
      <c r="B28" s="633" t="s">
        <v>673</v>
      </c>
      <c r="C28" s="634">
        <v>27</v>
      </c>
      <c r="D28" s="634">
        <v>27</v>
      </c>
      <c r="E28" s="634">
        <v>27</v>
      </c>
      <c r="F28" s="634">
        <v>27</v>
      </c>
      <c r="G28" s="635" t="s">
        <v>674</v>
      </c>
      <c r="H28" s="634">
        <v>27</v>
      </c>
      <c r="I28" s="635" t="s">
        <v>674</v>
      </c>
    </row>
    <row r="29" spans="1:9" ht="30" thickTop="1" thickBot="1">
      <c r="B29" s="633" t="s">
        <v>675</v>
      </c>
      <c r="C29" s="634">
        <v>-273</v>
      </c>
      <c r="D29" s="634">
        <v>38</v>
      </c>
      <c r="E29" s="634">
        <v>50</v>
      </c>
      <c r="F29" s="634">
        <v>100</v>
      </c>
      <c r="G29" s="634">
        <v>20</v>
      </c>
      <c r="H29" s="634">
        <v>100</v>
      </c>
      <c r="I29" s="634">
        <v>100</v>
      </c>
    </row>
    <row r="30" spans="1:9" ht="13.5" thickTop="1"/>
    <row r="31" spans="1:9" ht="13.5" thickBot="1"/>
    <row r="32" spans="1:9" ht="13.5" thickBot="1">
      <c r="B32" s="636" t="s">
        <v>676</v>
      </c>
      <c r="C32" s="637" t="s">
        <v>569</v>
      </c>
      <c r="D32" s="637" t="s">
        <v>677</v>
      </c>
      <c r="E32" s="638" t="s">
        <v>678</v>
      </c>
      <c r="F32" s="639" t="s">
        <v>679</v>
      </c>
    </row>
    <row r="33" spans="2:6">
      <c r="B33" s="640" t="s">
        <v>680</v>
      </c>
      <c r="C33" s="58">
        <v>10</v>
      </c>
      <c r="D33" s="58">
        <v>17.2</v>
      </c>
      <c r="E33" s="641">
        <v>1.6</v>
      </c>
      <c r="F33" s="642">
        <f t="shared" ref="F33:F46" si="1">D33-2*E33</f>
        <v>14</v>
      </c>
    </row>
    <row r="34" spans="2:6">
      <c r="B34" s="295" t="s">
        <v>681</v>
      </c>
      <c r="C34" s="643">
        <v>15</v>
      </c>
      <c r="D34" s="643">
        <v>21.3</v>
      </c>
      <c r="E34" s="154">
        <v>1.6</v>
      </c>
      <c r="F34" s="644">
        <f t="shared" si="1"/>
        <v>18.100000000000001</v>
      </c>
    </row>
    <row r="35" spans="2:6">
      <c r="B35" s="295" t="s">
        <v>682</v>
      </c>
      <c r="C35" s="643">
        <v>20</v>
      </c>
      <c r="D35" s="643">
        <v>26.9</v>
      </c>
      <c r="E35" s="154">
        <v>1.6</v>
      </c>
      <c r="F35" s="644">
        <f t="shared" si="1"/>
        <v>23.7</v>
      </c>
    </row>
    <row r="36" spans="2:6">
      <c r="B36" s="295" t="s">
        <v>683</v>
      </c>
      <c r="C36" s="643">
        <v>25</v>
      </c>
      <c r="D36" s="643">
        <v>33.700000000000003</v>
      </c>
      <c r="E36" s="154">
        <v>1.6</v>
      </c>
      <c r="F36" s="644">
        <f t="shared" si="1"/>
        <v>30.500000000000004</v>
      </c>
    </row>
    <row r="37" spans="2:6">
      <c r="B37" s="295" t="s">
        <v>684</v>
      </c>
      <c r="C37" s="643">
        <v>32</v>
      </c>
      <c r="D37" s="643">
        <v>42.4</v>
      </c>
      <c r="E37" s="154">
        <v>1.6</v>
      </c>
      <c r="F37" s="644">
        <f t="shared" si="1"/>
        <v>39.199999999999996</v>
      </c>
    </row>
    <row r="38" spans="2:6">
      <c r="B38" s="295" t="s">
        <v>685</v>
      </c>
      <c r="C38" s="643">
        <v>40</v>
      </c>
      <c r="D38" s="643">
        <v>48.3</v>
      </c>
      <c r="E38" s="154">
        <v>1.6</v>
      </c>
      <c r="F38" s="644">
        <f t="shared" si="1"/>
        <v>45.099999999999994</v>
      </c>
    </row>
    <row r="39" spans="2:6">
      <c r="B39" s="295" t="s">
        <v>686</v>
      </c>
      <c r="C39" s="643">
        <v>50</v>
      </c>
      <c r="D39" s="643">
        <v>60.3</v>
      </c>
      <c r="E39" s="154">
        <v>1.6</v>
      </c>
      <c r="F39" s="644">
        <f t="shared" si="1"/>
        <v>57.099999999999994</v>
      </c>
    </row>
    <row r="40" spans="2:6">
      <c r="B40" s="295" t="s">
        <v>687</v>
      </c>
      <c r="C40" s="643">
        <v>65</v>
      </c>
      <c r="D40" s="643">
        <v>76.099999999999994</v>
      </c>
      <c r="E40" s="154">
        <v>1.6</v>
      </c>
      <c r="F40" s="644">
        <f t="shared" si="1"/>
        <v>72.899999999999991</v>
      </c>
    </row>
    <row r="41" spans="2:6">
      <c r="B41" s="295" t="s">
        <v>688</v>
      </c>
      <c r="C41" s="643">
        <v>80</v>
      </c>
      <c r="D41" s="643">
        <v>86.9</v>
      </c>
      <c r="E41" s="154">
        <v>1.6</v>
      </c>
      <c r="F41" s="644">
        <f t="shared" si="1"/>
        <v>83.7</v>
      </c>
    </row>
    <row r="42" spans="2:6">
      <c r="B42" s="295" t="s">
        <v>689</v>
      </c>
      <c r="C42" s="643">
        <v>100</v>
      </c>
      <c r="D42" s="643">
        <v>114.3</v>
      </c>
      <c r="E42" s="154">
        <v>2</v>
      </c>
      <c r="F42" s="644">
        <f t="shared" si="1"/>
        <v>110.3</v>
      </c>
    </row>
    <row r="43" spans="2:6">
      <c r="B43" s="295" t="s">
        <v>690</v>
      </c>
      <c r="C43" s="643">
        <v>150</v>
      </c>
      <c r="D43" s="643">
        <v>168.3</v>
      </c>
      <c r="E43" s="154">
        <v>3.4</v>
      </c>
      <c r="F43" s="644">
        <f t="shared" si="1"/>
        <v>161.5</v>
      </c>
    </row>
    <row r="44" spans="2:6">
      <c r="B44" s="295" t="s">
        <v>691</v>
      </c>
      <c r="C44" s="643">
        <v>200</v>
      </c>
      <c r="D44" s="643">
        <v>219.1</v>
      </c>
      <c r="E44" s="154">
        <v>3.76</v>
      </c>
      <c r="F44" s="644">
        <f t="shared" si="1"/>
        <v>211.57999999999998</v>
      </c>
    </row>
    <row r="45" spans="2:6">
      <c r="B45" s="295" t="s">
        <v>692</v>
      </c>
      <c r="C45" s="643">
        <v>250</v>
      </c>
      <c r="D45" s="643">
        <v>273</v>
      </c>
      <c r="E45" s="154">
        <v>4.1900000000000004</v>
      </c>
      <c r="F45" s="644">
        <f t="shared" si="1"/>
        <v>264.62</v>
      </c>
    </row>
    <row r="46" spans="2:6" ht="13.5" thickBot="1">
      <c r="B46" s="302" t="s">
        <v>693</v>
      </c>
      <c r="C46" s="645">
        <v>300</v>
      </c>
      <c r="D46" s="645">
        <v>323.89999999999998</v>
      </c>
      <c r="E46" s="646">
        <v>4.57</v>
      </c>
      <c r="F46" s="647">
        <f t="shared" si="1"/>
        <v>314.76</v>
      </c>
    </row>
    <row r="49" spans="1:2">
      <c r="A49" s="631" t="s">
        <v>695</v>
      </c>
    </row>
    <row r="51" spans="1:2">
      <c r="B51" s="17">
        <v>0</v>
      </c>
    </row>
    <row r="52" spans="1:2">
      <c r="B52" s="17">
        <v>1</v>
      </c>
    </row>
    <row r="53" spans="1:2">
      <c r="B53" s="17">
        <v>2</v>
      </c>
    </row>
    <row r="54" spans="1:2">
      <c r="B54" s="17">
        <v>3</v>
      </c>
    </row>
    <row r="55" spans="1:2">
      <c r="B55" s="17">
        <v>4</v>
      </c>
    </row>
    <row r="56" spans="1:2">
      <c r="B56" s="17">
        <v>5</v>
      </c>
    </row>
  </sheetData>
  <mergeCells count="4">
    <mergeCell ref="C4:G4"/>
    <mergeCell ref="H4:I4"/>
    <mergeCell ref="C27:G27"/>
    <mergeCell ref="H27:I27"/>
  </mergeCells>
  <phoneticPr fontId="1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E2:AG74"/>
  <sheetViews>
    <sheetView topLeftCell="M2" zoomScale="70" workbookViewId="0">
      <selection activeCell="AJ2" sqref="AJ2"/>
    </sheetView>
  </sheetViews>
  <sheetFormatPr defaultRowHeight="12.75"/>
  <cols>
    <col min="1" max="4" width="9.140625" style="91"/>
    <col min="5" max="5" width="12.7109375" style="91" bestFit="1" customWidth="1"/>
    <col min="6" max="6" width="12.140625" style="91" customWidth="1"/>
    <col min="7" max="7" width="16.140625" style="91" customWidth="1"/>
    <col min="8" max="8" width="10" style="91" customWidth="1"/>
    <col min="9" max="9" width="10.7109375" style="91" bestFit="1" customWidth="1"/>
    <col min="10" max="10" width="13.42578125" style="91" customWidth="1"/>
    <col min="11" max="11" width="14" style="91" customWidth="1"/>
    <col min="12" max="13" width="11.140625" style="91" customWidth="1"/>
    <col min="14" max="14" width="11.85546875" style="91" customWidth="1"/>
    <col min="15" max="15" width="11.140625" style="91" customWidth="1"/>
    <col min="16" max="16" width="15.7109375" style="91" bestFit="1" customWidth="1"/>
    <col min="17" max="17" width="13.42578125" style="91" customWidth="1"/>
    <col min="18" max="19" width="12" style="91" bestFit="1" customWidth="1"/>
    <col min="20" max="21" width="10.7109375" style="91" bestFit="1" customWidth="1"/>
    <col min="22" max="27" width="9.140625" style="91"/>
    <col min="28" max="28" width="14.85546875" style="91" customWidth="1"/>
    <col min="29" max="29" width="9.140625" style="91"/>
    <col min="30" max="30" width="13.5703125" style="91" customWidth="1"/>
    <col min="31" max="31" width="12.85546875" style="91" customWidth="1"/>
    <col min="32" max="32" width="12" style="91" customWidth="1"/>
    <col min="33" max="33" width="12.5703125" style="91" customWidth="1"/>
    <col min="34" max="16384" width="9.140625" style="91"/>
  </cols>
  <sheetData>
    <row r="2" spans="5:33">
      <c r="H2" s="134" t="s">
        <v>518</v>
      </c>
      <c r="I2" s="134" t="s">
        <v>518</v>
      </c>
      <c r="J2" s="134" t="s">
        <v>518</v>
      </c>
      <c r="K2" s="134" t="s">
        <v>518</v>
      </c>
      <c r="L2" s="134" t="s">
        <v>518</v>
      </c>
      <c r="Q2" s="134" t="s">
        <v>527</v>
      </c>
      <c r="R2" s="134" t="s">
        <v>527</v>
      </c>
      <c r="S2" s="134" t="s">
        <v>527</v>
      </c>
      <c r="T2" s="134" t="s">
        <v>527</v>
      </c>
      <c r="U2" s="134" t="s">
        <v>527</v>
      </c>
      <c r="AC2" s="134" t="s">
        <v>518</v>
      </c>
      <c r="AD2" s="134" t="s">
        <v>518</v>
      </c>
      <c r="AE2" s="134" t="s">
        <v>518</v>
      </c>
      <c r="AF2" s="134" t="s">
        <v>518</v>
      </c>
      <c r="AG2" s="134" t="s">
        <v>518</v>
      </c>
    </row>
    <row r="3" spans="5:33" ht="15.75">
      <c r="E3" s="133" t="s">
        <v>84</v>
      </c>
      <c r="F3" s="133" t="s">
        <v>96</v>
      </c>
      <c r="G3" s="133" t="s">
        <v>82</v>
      </c>
      <c r="H3" s="1096">
        <v>1.05</v>
      </c>
      <c r="I3" s="1096">
        <v>2</v>
      </c>
      <c r="J3" s="1096">
        <v>5</v>
      </c>
      <c r="K3" s="1096">
        <v>10</v>
      </c>
      <c r="L3" s="1096">
        <v>15</v>
      </c>
      <c r="N3" s="133" t="s">
        <v>84</v>
      </c>
      <c r="O3" s="133" t="s">
        <v>96</v>
      </c>
      <c r="P3" s="133" t="s">
        <v>82</v>
      </c>
      <c r="Q3" s="1097">
        <v>4.5</v>
      </c>
      <c r="R3" s="1097">
        <v>5</v>
      </c>
      <c r="S3" s="1097">
        <v>5.5</v>
      </c>
      <c r="T3" s="1097">
        <v>6</v>
      </c>
      <c r="U3" s="1097">
        <v>8</v>
      </c>
      <c r="Z3" s="133" t="s">
        <v>84</v>
      </c>
      <c r="AA3" s="133" t="s">
        <v>96</v>
      </c>
      <c r="AB3" s="133" t="s">
        <v>82</v>
      </c>
      <c r="AC3" s="1097">
        <v>4</v>
      </c>
      <c r="AD3" s="1097">
        <f>AC3+0.5</f>
        <v>4.5</v>
      </c>
      <c r="AE3" s="1097">
        <f>AD3+0.5</f>
        <v>5</v>
      </c>
      <c r="AF3" s="1097">
        <f>AE3+0.5</f>
        <v>5.5</v>
      </c>
      <c r="AG3" s="1097">
        <f>AF3+0.5</f>
        <v>6</v>
      </c>
    </row>
    <row r="4" spans="5:33" ht="15.75">
      <c r="E4" s="1096">
        <v>1.05</v>
      </c>
      <c r="F4" s="1097">
        <v>20</v>
      </c>
      <c r="G4" s="1098">
        <f>[9]!Rho_(11,E4,F4)</f>
        <v>2.5286098165107047</v>
      </c>
      <c r="H4" s="1099">
        <f>[9]!cp_(11,H$3,$F4)</f>
        <v>5.2528315035451492</v>
      </c>
      <c r="I4" s="1099">
        <f>[9]!cp_(11,I$3,$F4)</f>
        <v>5.3064424260859688</v>
      </c>
      <c r="J4" s="1099">
        <f>[9]!cp_(11,J$3,$F4)</f>
        <v>5.4720379704900006</v>
      </c>
      <c r="K4" s="1099">
        <f>[9]!cp_(11,K$3,$F4)</f>
        <v>5.7282594988579554</v>
      </c>
      <c r="L4" s="1099">
        <f>[9]!cp_(11,L$3,$F4)</f>
        <v>5.9432130431432162</v>
      </c>
      <c r="N4" s="1096">
        <v>17</v>
      </c>
      <c r="O4" s="1097">
        <v>8</v>
      </c>
      <c r="P4" s="1098">
        <f>[9]!Rho_(11,N4,O4)</f>
        <v>124.68933231380196</v>
      </c>
      <c r="Q4" s="1099">
        <f>[9]!Rho_(11,$N4,Q$3)</f>
        <v>158.59886901315136</v>
      </c>
      <c r="R4" s="1099">
        <f>[9]!Rho_(11,$N4,R$3)</f>
        <v>155.02888083087532</v>
      </c>
      <c r="S4" s="1099">
        <f>[9]!Rho_(11,$N4,S$3)</f>
        <v>151.02107711180824</v>
      </c>
      <c r="T4" s="1099">
        <f>[9]!Rho_(11,$N4,T$3)</f>
        <v>146.58593783521204</v>
      </c>
      <c r="U4" s="1099">
        <f>[9]!Rho_(11,$N4,U$3)</f>
        <v>124.68933231380196</v>
      </c>
      <c r="Z4" s="1096">
        <v>17</v>
      </c>
      <c r="AA4" s="1097">
        <v>8</v>
      </c>
      <c r="AB4" s="1098">
        <f>[9]!Rho_(11,Z4,AA4)</f>
        <v>124.68933231380196</v>
      </c>
      <c r="AC4" s="1099">
        <f>[9]!cp_(11,$Z4,AC$3)</f>
        <v>2.5581919176099013</v>
      </c>
      <c r="AD4" s="1099">
        <f>[9]!cp_(11,$Z4,AD$3)</f>
        <v>2.8783758621890421</v>
      </c>
      <c r="AE4" s="1099">
        <f>[9]!cp_(11,$Z4,AE$3)</f>
        <v>3.1860847595020898</v>
      </c>
      <c r="AF4" s="1099">
        <f>[9]!cp_(11,$Z4,AF$3)</f>
        <v>3.509349278216181</v>
      </c>
      <c r="AG4" s="1099">
        <f>[9]!cp_(11,$Z4,AG$3)</f>
        <v>3.8592477690515166</v>
      </c>
    </row>
    <row r="5" spans="5:33" ht="15.75">
      <c r="E5" s="1096">
        <v>1.05</v>
      </c>
      <c r="F5" s="1097">
        <f>F4-1</f>
        <v>19</v>
      </c>
      <c r="G5" s="1098">
        <f>[9]!Rho_(11,E5,F5)</f>
        <v>2.6636929244049137</v>
      </c>
      <c r="H5" s="1099">
        <f t="shared" ref="H5:L20" si="0">[9]!cp_(11,H$3,$F5)</f>
        <v>5.2594026163836745</v>
      </c>
      <c r="I5" s="1099">
        <f t="shared" si="0"/>
        <v>5.319025602496489</v>
      </c>
      <c r="J5" s="1099">
        <f t="shared" si="0"/>
        <v>5.5037850267951498</v>
      </c>
      <c r="K5" s="1099">
        <f t="shared" si="0"/>
        <v>5.7898273122349204</v>
      </c>
      <c r="L5" s="1099">
        <f t="shared" si="0"/>
        <v>6.025279023676207</v>
      </c>
      <c r="N5" s="1096">
        <f>N4-1</f>
        <v>16</v>
      </c>
      <c r="O5" s="1097">
        <v>8</v>
      </c>
      <c r="P5" s="1098">
        <f>[9]!Rho_(11,N5,O5)</f>
        <v>121.74476940792708</v>
      </c>
      <c r="Q5" s="1099">
        <f>[9]!Rho_(11,$N5,Q$3)</f>
        <v>157.33084138373064</v>
      </c>
      <c r="R5" s="1099">
        <f>[9]!Rho_(11,$N5,R$3)</f>
        <v>153.62804907474148</v>
      </c>
      <c r="S5" s="1099">
        <f>[9]!Rho_(11,$N5,S$3)</f>
        <v>149.46098629360674</v>
      </c>
      <c r="T5" s="1099">
        <f>[9]!Rho_(11,$N5,T$3)</f>
        <v>144.83443692790547</v>
      </c>
      <c r="U5" s="1099">
        <f>[9]!Rho_(11,$N5,U$3)</f>
        <v>121.74476940792708</v>
      </c>
      <c r="Z5" s="1096">
        <f>Z4-1</f>
        <v>16</v>
      </c>
      <c r="AA5" s="1097">
        <v>8</v>
      </c>
      <c r="AB5" s="1098">
        <f>[9]!Rho_(11,Z5,AA5)</f>
        <v>121.74476940792708</v>
      </c>
      <c r="AC5" s="1099">
        <f t="shared" ref="AC5:AG20" si="1">[9]!cp_(11,$Z5,AC$3)</f>
        <v>2.5951185552221787</v>
      </c>
      <c r="AD5" s="1099">
        <f t="shared" si="1"/>
        <v>2.9226297259127469</v>
      </c>
      <c r="AE5" s="1099">
        <f t="shared" si="1"/>
        <v>3.2401063906645504</v>
      </c>
      <c r="AF5" s="1099">
        <f t="shared" si="1"/>
        <v>3.5765501051725792</v>
      </c>
      <c r="AG5" s="1099">
        <f t="shared" si="1"/>
        <v>3.94418190586208</v>
      </c>
    </row>
    <row r="6" spans="5:33" ht="15.75">
      <c r="E6" s="1096">
        <v>1.05</v>
      </c>
      <c r="F6" s="1097">
        <f t="shared" ref="F6:F20" si="2">F5-1</f>
        <v>18</v>
      </c>
      <c r="G6" s="1098">
        <f>[9]!Rho_(11,E6,F6)</f>
        <v>2.8142865942447464</v>
      </c>
      <c r="H6" s="1099">
        <f t="shared" si="0"/>
        <v>5.2670791738788445</v>
      </c>
      <c r="I6" s="1099">
        <f t="shared" si="0"/>
        <v>5.3337779167532133</v>
      </c>
      <c r="J6" s="1099">
        <f t="shared" si="0"/>
        <v>5.5413780390085945</v>
      </c>
      <c r="K6" s="1099">
        <f t="shared" si="0"/>
        <v>5.8631556183853011</v>
      </c>
      <c r="L6" s="1099">
        <f t="shared" si="0"/>
        <v>6.1213747721304603</v>
      </c>
      <c r="N6" s="1096">
        <f t="shared" ref="N6:N20" si="3">N5-1</f>
        <v>15</v>
      </c>
      <c r="O6" s="1097">
        <v>8</v>
      </c>
      <c r="P6" s="1098">
        <f>[9]!Rho_(11,N6,O6)</f>
        <v>118.4789614289899</v>
      </c>
      <c r="Q6" s="1099">
        <f>[9]!Rho_(11,$N6,Q$3)</f>
        <v>156.00546304012815</v>
      </c>
      <c r="R6" s="1099">
        <f>[9]!Rho_(11,$N6,R$3)</f>
        <v>152.15574119025021</v>
      </c>
      <c r="S6" s="1099">
        <f>[9]!Rho_(11,$N6,S$3)</f>
        <v>147.81035458049274</v>
      </c>
      <c r="T6" s="1099">
        <f>[9]!Rho_(11,$N6,T$3)</f>
        <v>142.96652048520869</v>
      </c>
      <c r="U6" s="1099">
        <f>[9]!Rho_(11,$N6,U$3)</f>
        <v>118.4789614289899</v>
      </c>
      <c r="Z6" s="1096">
        <f t="shared" ref="Z6:Z20" si="4">Z5-1</f>
        <v>15</v>
      </c>
      <c r="AA6" s="1097">
        <v>8</v>
      </c>
      <c r="AB6" s="1098">
        <f>[9]!Rho_(11,Z6,AA6)</f>
        <v>118.4789614289899</v>
      </c>
      <c r="AC6" s="1099">
        <f t="shared" si="1"/>
        <v>2.6343965813312566</v>
      </c>
      <c r="AD6" s="1099">
        <f t="shared" si="1"/>
        <v>2.9702663854865836</v>
      </c>
      <c r="AE6" s="1099">
        <f t="shared" si="1"/>
        <v>3.299109675044436</v>
      </c>
      <c r="AF6" s="1099">
        <f t="shared" si="1"/>
        <v>3.651175373450156</v>
      </c>
      <c r="AG6" s="1099">
        <f t="shared" si="1"/>
        <v>4.0402241083768544</v>
      </c>
    </row>
    <row r="7" spans="5:33" ht="15.75">
      <c r="E7" s="1096">
        <v>1.05</v>
      </c>
      <c r="F7" s="1097">
        <f t="shared" si="2"/>
        <v>17</v>
      </c>
      <c r="G7" s="1098">
        <f>[9]!Rho_(11,E7,F7)</f>
        <v>2.9832774155771857</v>
      </c>
      <c r="H7" s="1099">
        <f t="shared" si="0"/>
        <v>5.2761285970887819</v>
      </c>
      <c r="I7" s="1099">
        <f t="shared" si="0"/>
        <v>5.3512474691405512</v>
      </c>
      <c r="J7" s="1099">
        <f t="shared" si="0"/>
        <v>5.5864692478650966</v>
      </c>
      <c r="K7" s="1099">
        <f t="shared" si="0"/>
        <v>5.9517021377430588</v>
      </c>
      <c r="L7" s="1099">
        <f t="shared" si="0"/>
        <v>6.2346159811925119</v>
      </c>
      <c r="N7" s="1096">
        <f t="shared" si="3"/>
        <v>14</v>
      </c>
      <c r="O7" s="1097">
        <v>8</v>
      </c>
      <c r="P7" s="1098">
        <f>[9]!Rho_(11,N7,O7)</f>
        <v>114.81213606349276</v>
      </c>
      <c r="Q7" s="1099">
        <f>[9]!Rho_(11,$N7,Q$3)</f>
        <v>154.61600557451317</v>
      </c>
      <c r="R7" s="1099">
        <f>[9]!Rho_(11,$N7,R$3)</f>
        <v>150.6024650552088</v>
      </c>
      <c r="S7" s="1099">
        <f>[9]!Rho_(11,$N7,S$3)</f>
        <v>146.05547072027358</v>
      </c>
      <c r="T7" s="1099">
        <f>[9]!Rho_(11,$N7,T$3)</f>
        <v>140.9620094452755</v>
      </c>
      <c r="U7" s="1099">
        <f>[9]!Rho_(11,$N7,U$3)</f>
        <v>114.81213606349276</v>
      </c>
      <c r="Z7" s="1096">
        <f t="shared" si="4"/>
        <v>14</v>
      </c>
      <c r="AA7" s="1097">
        <v>8</v>
      </c>
      <c r="AB7" s="1098">
        <f>[9]!Rho_(11,Z7,AA7)</f>
        <v>114.81213606349276</v>
      </c>
      <c r="AC7" s="1099">
        <f t="shared" si="1"/>
        <v>2.6763792224567537</v>
      </c>
      <c r="AD7" s="1099">
        <f t="shared" si="1"/>
        <v>3.0218743835573534</v>
      </c>
      <c r="AE7" s="1099">
        <f t="shared" si="1"/>
        <v>3.3640924652482482</v>
      </c>
      <c r="AF7" s="1099">
        <f t="shared" si="1"/>
        <v>3.7349309679980185</v>
      </c>
      <c r="AG7" s="1099">
        <f t="shared" si="1"/>
        <v>4.1502846159070383</v>
      </c>
    </row>
    <row r="8" spans="5:33" ht="15.75">
      <c r="E8" s="1096">
        <v>1.05</v>
      </c>
      <c r="F8" s="1097">
        <f t="shared" si="2"/>
        <v>16</v>
      </c>
      <c r="G8" s="1098">
        <f>[9]!Rho_(11,E8,F8)</f>
        <v>3.1743302198985028</v>
      </c>
      <c r="H8" s="1099">
        <f t="shared" si="0"/>
        <v>5.2869078910338541</v>
      </c>
      <c r="I8" s="1099">
        <f t="shared" si="0"/>
        <v>5.3721779871273654</v>
      </c>
      <c r="J8" s="1099">
        <f t="shared" si="0"/>
        <v>5.6413962835478078</v>
      </c>
      <c r="K8" s="1099">
        <f t="shared" si="0"/>
        <v>6.0603566948768215</v>
      </c>
      <c r="L8" s="1099">
        <f t="shared" si="0"/>
        <v>6.3686460213418306</v>
      </c>
      <c r="N8" s="1096">
        <f t="shared" si="3"/>
        <v>13</v>
      </c>
      <c r="O8" s="1097">
        <v>8</v>
      </c>
      <c r="P8" s="1098">
        <f>[9]!Rho_(11,N8,O8)</f>
        <v>110.63557686584167</v>
      </c>
      <c r="Q8" s="1099">
        <f>[9]!Rho_(11,$N8,Q$3)</f>
        <v>153.1543626740775</v>
      </c>
      <c r="R8" s="1099">
        <f>[9]!Rho_(11,$N8,R$3)</f>
        <v>148.95652378944592</v>
      </c>
      <c r="S8" s="1099">
        <f>[9]!Rho_(11,$N8,S$3)</f>
        <v>144.17898755545062</v>
      </c>
      <c r="T8" s="1099">
        <f>[9]!Rho_(11,$N8,T$3)</f>
        <v>138.79460415072825</v>
      </c>
      <c r="U8" s="1099">
        <f>[9]!Rho_(11,$N8,U$3)</f>
        <v>110.63557686584167</v>
      </c>
      <c r="Z8" s="1096">
        <f t="shared" si="4"/>
        <v>13</v>
      </c>
      <c r="AA8" s="1097">
        <v>8</v>
      </c>
      <c r="AB8" s="1098">
        <f>[9]!Rho_(11,Z8,AA8)</f>
        <v>110.63557686584167</v>
      </c>
      <c r="AC8" s="1099">
        <f t="shared" si="1"/>
        <v>2.72150471641078</v>
      </c>
      <c r="AD8" s="1099">
        <f t="shared" si="1"/>
        <v>3.0782035434886943</v>
      </c>
      <c r="AE8" s="1099">
        <f t="shared" si="1"/>
        <v>3.4363646008956561</v>
      </c>
      <c r="AF8" s="1099">
        <f t="shared" si="1"/>
        <v>3.8301322277285195</v>
      </c>
      <c r="AG8" s="1099">
        <f t="shared" si="1"/>
        <v>4.2784566778599684</v>
      </c>
    </row>
    <row r="9" spans="5:33" ht="15.75">
      <c r="E9" s="1096">
        <v>1.05</v>
      </c>
      <c r="F9" s="1097">
        <f t="shared" si="2"/>
        <v>15</v>
      </c>
      <c r="G9" s="1098">
        <f>[9]!Rho_(11,E9,F9)</f>
        <v>3.3921747902720436</v>
      </c>
      <c r="H9" s="1099">
        <f t="shared" si="0"/>
        <v>5.2999042318398679</v>
      </c>
      <c r="I9" s="1099">
        <f t="shared" si="0"/>
        <v>5.3976048287103868</v>
      </c>
      <c r="J9" s="1099">
        <f t="shared" si="0"/>
        <v>5.7095824944101317</v>
      </c>
      <c r="K9" s="1099">
        <f t="shared" si="0"/>
        <v>6.1961936962297104</v>
      </c>
      <c r="L9" s="1099">
        <f t="shared" si="0"/>
        <v>6.5272431138204681</v>
      </c>
      <c r="N9" s="1096">
        <f t="shared" si="3"/>
        <v>12</v>
      </c>
      <c r="O9" s="1097">
        <v>8</v>
      </c>
      <c r="P9" s="1098">
        <f>[9]!Rho_(11,N9,O9)</f>
        <v>105.80062100246813</v>
      </c>
      <c r="Q9" s="1099">
        <f>[9]!Rho_(11,$N9,Q$3)</f>
        <v>151.61062994067359</v>
      </c>
      <c r="R9" s="1099">
        <f>[9]!Rho_(11,$N9,R$3)</f>
        <v>147.20324850657363</v>
      </c>
      <c r="S9" s="1099">
        <f>[9]!Rho_(11,$N9,S$3)</f>
        <v>142.15846798113722</v>
      </c>
      <c r="T9" s="1099">
        <f>[9]!Rho_(11,$N9,T$3)</f>
        <v>136.42906965704091</v>
      </c>
      <c r="U9" s="1099">
        <f>[9]!Rho_(11,$N9,U$3)</f>
        <v>105.80062100246813</v>
      </c>
      <c r="Z9" s="1096">
        <f t="shared" si="4"/>
        <v>12</v>
      </c>
      <c r="AA9" s="1097">
        <v>8</v>
      </c>
      <c r="AB9" s="1098">
        <f>[9]!Rho_(11,Z9,AA9)</f>
        <v>105.80062100246813</v>
      </c>
      <c r="AC9" s="1099">
        <f t="shared" si="1"/>
        <v>2.7703249464549264</v>
      </c>
      <c r="AD9" s="1099">
        <f t="shared" si="1"/>
        <v>3.1402270698111421</v>
      </c>
      <c r="AE9" s="1099">
        <f t="shared" si="1"/>
        <v>3.5176858133582898</v>
      </c>
      <c r="AF9" s="1099">
        <f t="shared" si="1"/>
        <v>3.9400140419017196</v>
      </c>
      <c r="AG9" s="1099">
        <f t="shared" si="1"/>
        <v>4.4307055018711088</v>
      </c>
    </row>
    <row r="10" spans="5:33" ht="15.75">
      <c r="E10" s="1096">
        <v>1.05</v>
      </c>
      <c r="F10" s="1097">
        <f t="shared" si="2"/>
        <v>14</v>
      </c>
      <c r="G10" s="1098">
        <f>[9]!Rho_(11,E10,F10)</f>
        <v>3.6430321345599972</v>
      </c>
      <c r="H10" s="1099">
        <f t="shared" si="0"/>
        <v>5.3157999587863012</v>
      </c>
      <c r="I10" s="1099">
        <f t="shared" si="0"/>
        <v>5.4290142308885851</v>
      </c>
      <c r="J10" s="1099">
        <f t="shared" si="0"/>
        <v>5.796255278222195</v>
      </c>
      <c r="K10" s="1099">
        <f t="shared" si="0"/>
        <v>6.3696460249564577</v>
      </c>
      <c r="L10" s="1099">
        <f t="shared" si="0"/>
        <v>6.7130139851844524</v>
      </c>
      <c r="N10" s="1096">
        <f t="shared" si="3"/>
        <v>11</v>
      </c>
      <c r="O10" s="1097">
        <v>8</v>
      </c>
      <c r="P10" s="1098">
        <f>[9]!Rho_(11,N10,O10)</f>
        <v>100.10822315929769</v>
      </c>
      <c r="Q10" s="1099">
        <f>[9]!Rho_(11,$N10,Q$3)</f>
        <v>149.97250743744948</v>
      </c>
      <c r="R10" s="1099">
        <f>[9]!Rho_(11,$N10,R$3)</f>
        <v>145.32385791550408</v>
      </c>
      <c r="S10" s="1099">
        <f>[9]!Rho_(11,$N10,S$3)</f>
        <v>139.96410929696188</v>
      </c>
      <c r="T10" s="1099">
        <f>[9]!Rho_(11,$N10,T$3)</f>
        <v>133.81657470639374</v>
      </c>
      <c r="U10" s="1099">
        <f>[9]!Rho_(11,$N10,U$3)</f>
        <v>100.10822315929769</v>
      </c>
      <c r="Z10" s="1096">
        <f t="shared" si="4"/>
        <v>11</v>
      </c>
      <c r="AA10" s="1097">
        <v>8</v>
      </c>
      <c r="AB10" s="1098">
        <f>[9]!Rho_(11,Z10,AA10)</f>
        <v>100.10822315929769</v>
      </c>
      <c r="AC10" s="1099">
        <f t="shared" si="1"/>
        <v>2.8235469280197294</v>
      </c>
      <c r="AD10" s="1099">
        <f t="shared" si="1"/>
        <v>3.2092357144609287</v>
      </c>
      <c r="AE10" s="1099">
        <f t="shared" si="1"/>
        <v>3.6104861614555372</v>
      </c>
      <c r="AF10" s="1099">
        <f t="shared" si="1"/>
        <v>4.069256980646438</v>
      </c>
      <c r="AG10" s="1099">
        <f t="shared" si="1"/>
        <v>4.6161116410406118</v>
      </c>
    </row>
    <row r="11" spans="5:33" ht="15.75">
      <c r="E11" s="1096">
        <v>1.05</v>
      </c>
      <c r="F11" s="1097">
        <f t="shared" si="2"/>
        <v>13</v>
      </c>
      <c r="G11" s="1098">
        <f>[9]!Rho_(11,E11,F11)</f>
        <v>3.9352683701753106</v>
      </c>
      <c r="H11" s="1099">
        <f t="shared" si="0"/>
        <v>5.3355811034327871</v>
      </c>
      <c r="I11" s="1099">
        <f t="shared" si="0"/>
        <v>5.4686205928434335</v>
      </c>
      <c r="J11" s="1099">
        <f t="shared" si="0"/>
        <v>5.9098184543451744</v>
      </c>
      <c r="K11" s="1099">
        <f t="shared" si="0"/>
        <v>6.5961958300448096</v>
      </c>
      <c r="L11" s="1099">
        <f t="shared" si="0"/>
        <v>6.9238834488239069</v>
      </c>
      <c r="N11" s="1096">
        <f t="shared" si="3"/>
        <v>10</v>
      </c>
      <c r="O11" s="1097">
        <v>8</v>
      </c>
      <c r="P11" s="1098">
        <f>[9]!Rho_(11,N11,O11)</f>
        <v>93.311893341365618</v>
      </c>
      <c r="Q11" s="1099">
        <f>[9]!Rho_(11,$N11,Q$3)</f>
        <v>148.22442532228536</v>
      </c>
      <c r="R11" s="1099">
        <f>[9]!Rho_(11,$N11,R$3)</f>
        <v>143.29369979872834</v>
      </c>
      <c r="S11" s="1099">
        <f>[9]!Rho_(11,$N11,S$3)</f>
        <v>137.55501082794203</v>
      </c>
      <c r="T11" s="1099">
        <f>[9]!Rho_(11,$N11,T$3)</f>
        <v>130.88650346859609</v>
      </c>
      <c r="U11" s="1099">
        <f>[9]!Rho_(11,$N11,U$3)</f>
        <v>93.311893341365618</v>
      </c>
      <c r="Z11" s="1096">
        <f t="shared" si="4"/>
        <v>10</v>
      </c>
      <c r="AA11" s="1097">
        <v>8</v>
      </c>
      <c r="AB11" s="1098">
        <f>[9]!Rho_(11,Z11,AA11)</f>
        <v>93.311893341365618</v>
      </c>
      <c r="AC11" s="1099">
        <f t="shared" si="1"/>
        <v>2.8820946111192858</v>
      </c>
      <c r="AD11" s="1099">
        <f t="shared" si="1"/>
        <v>3.2869856360053218</v>
      </c>
      <c r="AE11" s="1099">
        <f t="shared" si="1"/>
        <v>3.7182343723895088</v>
      </c>
      <c r="AF11" s="1099">
        <f t="shared" si="1"/>
        <v>4.2249317001428057</v>
      </c>
      <c r="AG11" s="1099">
        <f t="shared" si="1"/>
        <v>4.8492761412909804</v>
      </c>
    </row>
    <row r="12" spans="5:33" ht="15.75">
      <c r="E12" s="1096">
        <v>1.05</v>
      </c>
      <c r="F12" s="1097">
        <f t="shared" si="2"/>
        <v>12</v>
      </c>
      <c r="G12" s="1098">
        <f>[9]!Rho_(11,E12,F12)</f>
        <v>4.2804355811591677</v>
      </c>
      <c r="H12" s="1099">
        <f t="shared" si="0"/>
        <v>5.3607278373121883</v>
      </c>
      <c r="I12" s="1099">
        <f t="shared" si="0"/>
        <v>5.5198781636516321</v>
      </c>
      <c r="J12" s="1099">
        <f t="shared" si="0"/>
        <v>6.0646836027956841</v>
      </c>
      <c r="K12" s="1099">
        <f t="shared" si="0"/>
        <v>6.8980743585869604</v>
      </c>
      <c r="L12" s="1099">
        <f t="shared" si="0"/>
        <v>7.1445540689104128</v>
      </c>
      <c r="N12" s="1096">
        <f t="shared" si="3"/>
        <v>9</v>
      </c>
      <c r="O12" s="1097">
        <v>8</v>
      </c>
      <c r="P12" s="1098">
        <f>[9]!Rho_(11,N12,O12)</f>
        <v>85.165550032724639</v>
      </c>
      <c r="Q12" s="1099">
        <f>[9]!Rho_(11,$N12,Q$3)</f>
        <v>146.34621984492966</v>
      </c>
      <c r="R12" s="1099">
        <f>[9]!Rho_(11,$N12,R$3)</f>
        <v>141.07941597466404</v>
      </c>
      <c r="S12" s="1099">
        <f>[9]!Rho_(11,$N12,S$3)</f>
        <v>134.87267915875594</v>
      </c>
      <c r="T12" s="1099">
        <f>[9]!Rho_(11,$N12,T$3)</f>
        <v>127.53095167456115</v>
      </c>
      <c r="U12" s="1099">
        <f>[9]!Rho_(11,$N12,U$3)</f>
        <v>85.165550032724639</v>
      </c>
      <c r="Z12" s="1096">
        <f t="shared" si="4"/>
        <v>9</v>
      </c>
      <c r="AA12" s="1097">
        <v>8</v>
      </c>
      <c r="AB12" s="1098">
        <f>[9]!Rho_(11,Z12,AA12)</f>
        <v>85.165550032724639</v>
      </c>
      <c r="AC12" s="1099">
        <f t="shared" si="1"/>
        <v>2.9472039698319192</v>
      </c>
      <c r="AD12" s="1099">
        <f t="shared" si="1"/>
        <v>3.3759403670461587</v>
      </c>
      <c r="AE12" s="1099">
        <f t="shared" si="1"/>
        <v>3.8460873473237829</v>
      </c>
      <c r="AF12" s="1099">
        <f t="shared" si="1"/>
        <v>4.4183177105663454</v>
      </c>
      <c r="AG12" s="1099">
        <f t="shared" si="1"/>
        <v>5.1554001974460206</v>
      </c>
    </row>
    <row r="13" spans="5:33" ht="15.75">
      <c r="E13" s="1096">
        <v>1.05</v>
      </c>
      <c r="F13" s="1097">
        <f t="shared" si="2"/>
        <v>11</v>
      </c>
      <c r="G13" s="1098">
        <f>[9]!Rho_(11,E13,F13)</f>
        <v>4.6950043493196709</v>
      </c>
      <c r="H13" s="1099">
        <f t="shared" si="0"/>
        <v>5.393569062696205</v>
      </c>
      <c r="I13" s="1099">
        <f t="shared" si="0"/>
        <v>5.5884946498760346</v>
      </c>
      <c r="J13" s="1099">
        <f t="shared" si="0"/>
        <v>6.2877032676194675</v>
      </c>
      <c r="K13" s="1099">
        <f t="shared" si="0"/>
        <v>7.3022992848983881</v>
      </c>
      <c r="L13" s="1099">
        <f t="shared" si="0"/>
        <v>7.3260790582210271</v>
      </c>
      <c r="N13" s="1096">
        <f t="shared" si="3"/>
        <v>8</v>
      </c>
      <c r="O13" s="1097">
        <v>8</v>
      </c>
      <c r="P13" s="1098">
        <f>[9]!Rho_(11,N13,O13)</f>
        <v>75.547801530529526</v>
      </c>
      <c r="Q13" s="1099">
        <f>[9]!Rho_(11,$N13,Q$3)</f>
        <v>144.31104463058676</v>
      </c>
      <c r="R13" s="1099">
        <f>[9]!Rho_(11,$N13,R$3)</f>
        <v>138.63411334304226</v>
      </c>
      <c r="S13" s="1099">
        <f>[9]!Rho_(11,$N13,S$3)</f>
        <v>131.82886351525164</v>
      </c>
      <c r="T13" s="1099">
        <f>[9]!Rho_(11,$N13,T$3)</f>
        <v>123.57234067717835</v>
      </c>
      <c r="U13" s="1099">
        <f>[9]!Rho_(11,$N13,U$3)</f>
        <v>75.547801530529526</v>
      </c>
      <c r="Z13" s="1096">
        <f t="shared" si="4"/>
        <v>8</v>
      </c>
      <c r="AA13" s="1097">
        <v>8</v>
      </c>
      <c r="AB13" s="1098">
        <f>[9]!Rho_(11,Z13,AA13)</f>
        <v>75.547801530529526</v>
      </c>
      <c r="AC13" s="1099">
        <f t="shared" si="1"/>
        <v>3.0205749785934812</v>
      </c>
      <c r="AD13" s="1099">
        <f t="shared" si="1"/>
        <v>3.4796870123126733</v>
      </c>
      <c r="AE13" s="1099">
        <f t="shared" si="1"/>
        <v>4.0021144746548547</v>
      </c>
      <c r="AF13" s="1099">
        <f t="shared" si="1"/>
        <v>4.6687347014843441</v>
      </c>
      <c r="AG13" s="1099">
        <f t="shared" si="1"/>
        <v>5.5823208660751868</v>
      </c>
    </row>
    <row r="14" spans="5:33" ht="15.75">
      <c r="E14" s="1096">
        <v>1.05</v>
      </c>
      <c r="F14" s="1097">
        <f t="shared" si="2"/>
        <v>10</v>
      </c>
      <c r="G14" s="1098">
        <f>[9]!Rho_(11,E14,F14)</f>
        <v>5.203411249390566</v>
      </c>
      <c r="H14" s="1099">
        <f t="shared" si="0"/>
        <v>5.4379916225641027</v>
      </c>
      <c r="I14" s="1099">
        <f t="shared" si="0"/>
        <v>5.6846255133029198</v>
      </c>
      <c r="J14" s="1099">
        <f t="shared" si="0"/>
        <v>6.6347292767051416</v>
      </c>
      <c r="K14" s="1099">
        <f t="shared" si="0"/>
        <v>7.8187102006752012</v>
      </c>
      <c r="L14" s="1099">
        <f t="shared" si="0"/>
        <v>7.3372244084541078</v>
      </c>
      <c r="N14" s="1096">
        <f t="shared" si="3"/>
        <v>7</v>
      </c>
      <c r="O14" s="1097">
        <v>8</v>
      </c>
      <c r="P14" s="1098">
        <f>[9]!Rho_(11,N14,O14)</f>
        <v>64.616932234801055</v>
      </c>
      <c r="Q14" s="1099">
        <f>[9]!Rho_(11,$N14,Q$3)</f>
        <v>142.08190577301605</v>
      </c>
      <c r="R14" s="1099">
        <f>[9]!Rho_(11,$N14,R$3)</f>
        <v>135.88854325105285</v>
      </c>
      <c r="S14" s="1099">
        <f>[9]!Rho_(11,$N14,S$3)</f>
        <v>128.28038199191491</v>
      </c>
      <c r="T14" s="1099">
        <f>[9]!Rho_(11,$N14,T$3)</f>
        <v>118.68601022605856</v>
      </c>
      <c r="U14" s="1099">
        <f>[9]!Rho_(11,$N14,U$3)</f>
        <v>64.616932234801055</v>
      </c>
      <c r="Z14" s="1096">
        <f t="shared" si="4"/>
        <v>7</v>
      </c>
      <c r="AA14" s="1097">
        <v>8</v>
      </c>
      <c r="AB14" s="1098">
        <f>[9]!Rho_(11,Z14,AA14)</f>
        <v>64.616932234801055</v>
      </c>
      <c r="AC14" s="1099">
        <f t="shared" si="1"/>
        <v>3.1046258033308765</v>
      </c>
      <c r="AD14" s="1099">
        <f t="shared" si="1"/>
        <v>3.6036973743845495</v>
      </c>
      <c r="AE14" s="1099">
        <f t="shared" si="1"/>
        <v>4.1998106034894027</v>
      </c>
      <c r="AF14" s="1099">
        <f t="shared" si="1"/>
        <v>5.0126430601490011</v>
      </c>
      <c r="AG14" s="1099">
        <f t="shared" si="1"/>
        <v>6.2338751079258286</v>
      </c>
    </row>
    <row r="15" spans="5:33" ht="15.75">
      <c r="E15" s="1096">
        <v>1.05</v>
      </c>
      <c r="F15" s="1097">
        <f t="shared" si="2"/>
        <v>9</v>
      </c>
      <c r="G15" s="1098">
        <f>[9]!Rho_(11,E15,F15)</f>
        <v>5.8438086869243655</v>
      </c>
      <c r="H15" s="1099">
        <f t="shared" si="0"/>
        <v>5.5009894346893837</v>
      </c>
      <c r="I15" s="1099">
        <f t="shared" si="0"/>
        <v>5.828207891983503</v>
      </c>
      <c r="J15" s="1099">
        <f t="shared" si="0"/>
        <v>7.2408250112835191</v>
      </c>
      <c r="K15" s="1099">
        <f t="shared" si="0"/>
        <v>8.340754099991166</v>
      </c>
      <c r="L15" s="1099">
        <f t="shared" si="0"/>
        <v>6.9247099788838042</v>
      </c>
      <c r="N15" s="1096">
        <f t="shared" si="3"/>
        <v>6</v>
      </c>
      <c r="O15" s="1097">
        <v>8</v>
      </c>
      <c r="P15" s="1098">
        <f>[9]!Rho_(11,N15,O15)</f>
        <v>52.910495028118099</v>
      </c>
      <c r="Q15" s="1099">
        <f>[9]!Rho_(11,$N15,Q$3)</f>
        <v>139.60553903115991</v>
      </c>
      <c r="R15" s="1099">
        <f>[9]!Rho_(11,$N15,R$3)</f>
        <v>132.73343422211263</v>
      </c>
      <c r="S15" s="1099">
        <f>[9]!Rho_(11,$N15,S$3)</f>
        <v>123.96929808304706</v>
      </c>
      <c r="T15" s="1099">
        <f>[9]!Rho_(11,$N15,T$3)</f>
        <v>112.17507339527333</v>
      </c>
      <c r="U15" s="1099">
        <f>[9]!Rho_(11,$N15,U$3)</f>
        <v>52.910495028118099</v>
      </c>
      <c r="Z15" s="1096">
        <f t="shared" si="4"/>
        <v>6</v>
      </c>
      <c r="AA15" s="1097">
        <v>8</v>
      </c>
      <c r="AB15" s="1098">
        <f>[9]!Rho_(11,Z15,AA15)</f>
        <v>52.910495028118099</v>
      </c>
      <c r="AC15" s="1099">
        <f t="shared" si="1"/>
        <v>3.2029421519420156</v>
      </c>
      <c r="AD15" s="1099">
        <f t="shared" si="1"/>
        <v>3.7568318688300386</v>
      </c>
      <c r="AE15" s="1099">
        <f t="shared" si="1"/>
        <v>4.463871094892661</v>
      </c>
      <c r="AF15" s="1099">
        <f t="shared" si="1"/>
        <v>5.5292470640878788</v>
      </c>
      <c r="AG15" s="1099">
        <f t="shared" si="1"/>
        <v>7.385762930418001</v>
      </c>
    </row>
    <row r="16" spans="5:33" ht="15.75">
      <c r="E16" s="1096">
        <v>1.05</v>
      </c>
      <c r="F16" s="1097">
        <f t="shared" si="2"/>
        <v>8</v>
      </c>
      <c r="G16" s="1098">
        <f>[9]!Rho_(11,E16,F16)</f>
        <v>6.679969258119848</v>
      </c>
      <c r="H16" s="1099">
        <f t="shared" si="0"/>
        <v>5.5964472748507728</v>
      </c>
      <c r="I16" s="1099">
        <f t="shared" si="0"/>
        <v>6.0642009671408799</v>
      </c>
      <c r="J16" s="1099">
        <f t="shared" si="0"/>
        <v>8.5052515605197279</v>
      </c>
      <c r="K16" s="1099">
        <f t="shared" si="0"/>
        <v>8.2481965604217073</v>
      </c>
      <c r="L16" s="1099">
        <f t="shared" si="0"/>
        <v>6.006302699807323</v>
      </c>
      <c r="N16" s="1096">
        <f t="shared" si="3"/>
        <v>5</v>
      </c>
      <c r="O16" s="1097">
        <v>8</v>
      </c>
      <c r="P16" s="1098">
        <f>[9]!Rho_(11,N16,O16)</f>
        <v>41.336637024719906</v>
      </c>
      <c r="Q16" s="1099">
        <f>[9]!Rho_(11,$N16,Q$3)</f>
        <v>136.80066356302726</v>
      </c>
      <c r="R16" s="1099">
        <f>[9]!Rho_(11,$N16,R$3)</f>
        <v>128.97927204592926</v>
      </c>
      <c r="S16" s="1099">
        <f>[9]!Rho_(11,$N16,S$3)</f>
        <v>118.34728238649689</v>
      </c>
      <c r="T16" s="1099">
        <f>[9]!Rho_(11,$N16,T$3)</f>
        <v>102.08037575471664</v>
      </c>
      <c r="U16" s="1099">
        <f>[9]!Rho_(11,$N16,U$3)</f>
        <v>41.336637024719906</v>
      </c>
      <c r="Z16" s="1096">
        <f t="shared" si="4"/>
        <v>5</v>
      </c>
      <c r="AA16" s="1097">
        <v>8</v>
      </c>
      <c r="AB16" s="1098">
        <f>[9]!Rho_(11,Z16,AA16)</f>
        <v>41.336637024719906</v>
      </c>
      <c r="AC16" s="1099">
        <f t="shared" si="1"/>
        <v>3.3211283731473267</v>
      </c>
      <c r="AD16" s="1099">
        <f t="shared" si="1"/>
        <v>3.9546276277613859</v>
      </c>
      <c r="AE16" s="1099">
        <f t="shared" si="1"/>
        <v>4.8457427177281467</v>
      </c>
      <c r="AF16" s="1099">
        <f t="shared" si="1"/>
        <v>6.4340974907455362</v>
      </c>
      <c r="AG16" s="1099">
        <f t="shared" si="1"/>
        <v>10.042481795451954</v>
      </c>
    </row>
    <row r="17" spans="5:33" ht="15.75">
      <c r="E17" s="1096">
        <v>1.05</v>
      </c>
      <c r="F17" s="1097">
        <f t="shared" si="2"/>
        <v>7</v>
      </c>
      <c r="G17" s="1098">
        <f>[9]!Rho_(11,E17,F17)</f>
        <v>7.8293446601264467</v>
      </c>
      <c r="H17" s="1099">
        <f t="shared" si="0"/>
        <v>5.7558705286443681</v>
      </c>
      <c r="I17" s="1099">
        <f t="shared" si="0"/>
        <v>6.5186506564203759</v>
      </c>
      <c r="J17" s="1099">
        <f t="shared" si="0"/>
        <v>11.647407039340933</v>
      </c>
      <c r="K17" s="1099">
        <f t="shared" si="0"/>
        <v>6.5838152479238943</v>
      </c>
      <c r="L17" s="1099">
        <f t="shared" si="0"/>
        <v>4.9518626949292726</v>
      </c>
      <c r="N17" s="1096">
        <f t="shared" si="3"/>
        <v>4</v>
      </c>
      <c r="O17" s="1097">
        <v>8</v>
      </c>
      <c r="P17" s="1098">
        <f>[9]!Rho_(11,N17,O17)</f>
        <v>30.763590766988834</v>
      </c>
      <c r="Q17" s="1099">
        <f>[9]!Rho_(11,$N17,Q$3)</f>
        <v>133.53277912021721</v>
      </c>
      <c r="R17" s="1099">
        <f>[9]!Rho_(11,$N17,R$3)</f>
        <v>124.24525426760974</v>
      </c>
      <c r="S17" s="1099">
        <f>[9]!Rho_(11,$N17,S$3)</f>
        <v>109.82308989305601</v>
      </c>
      <c r="T17" s="1099">
        <f>[9]!Rho_(11,$N17,T$3)</f>
        <v>80.29549139442328</v>
      </c>
      <c r="U17" s="1099">
        <f>[9]!Rho_(11,$N17,U$3)</f>
        <v>30.763590766988834</v>
      </c>
      <c r="Z17" s="1096">
        <f t="shared" si="4"/>
        <v>4</v>
      </c>
      <c r="AA17" s="1097">
        <v>8</v>
      </c>
      <c r="AB17" s="1098">
        <f>[9]!Rho_(11,Z17,AA17)</f>
        <v>30.763590766988834</v>
      </c>
      <c r="AC17" s="1099">
        <f t="shared" si="1"/>
        <v>3.4685689976608836</v>
      </c>
      <c r="AD17" s="1099">
        <f t="shared" si="1"/>
        <v>4.2275594843368038</v>
      </c>
      <c r="AE17" s="1099">
        <f t="shared" si="1"/>
        <v>5.4770099081938453</v>
      </c>
      <c r="AF17" s="1099">
        <f t="shared" si="1"/>
        <v>8.633916435083334</v>
      </c>
      <c r="AG17" s="1099">
        <f t="shared" si="1"/>
        <v>17.88007583204072</v>
      </c>
    </row>
    <row r="18" spans="5:33" ht="15.75">
      <c r="E18" s="1096">
        <v>1.05</v>
      </c>
      <c r="F18" s="1097">
        <f t="shared" si="2"/>
        <v>6</v>
      </c>
      <c r="G18" s="1098">
        <f>[9]!Rho_(11,E18,F18)</f>
        <v>9.5436029362345209</v>
      </c>
      <c r="H18" s="1099">
        <f t="shared" si="0"/>
        <v>6.066325307959854</v>
      </c>
      <c r="I18" s="1099">
        <f t="shared" si="0"/>
        <v>7.7366929615390259</v>
      </c>
      <c r="J18" s="1099">
        <f t="shared" si="0"/>
        <v>10.042481795451954</v>
      </c>
      <c r="K18" s="1099">
        <f t="shared" si="0"/>
        <v>4.8492761412909804</v>
      </c>
      <c r="L18" s="1099">
        <f t="shared" si="0"/>
        <v>4.0402241083768544</v>
      </c>
      <c r="N18" s="1096">
        <f t="shared" si="3"/>
        <v>3</v>
      </c>
      <c r="O18" s="1097">
        <v>8</v>
      </c>
      <c r="P18" s="1098">
        <f>[9]!Rho_(11,N18,O18)</f>
        <v>21.50816975672328</v>
      </c>
      <c r="Q18" s="1099">
        <f>[9]!Rho_(11,$N18,Q$3)</f>
        <v>129.55049925005241</v>
      </c>
      <c r="R18" s="1099">
        <f>[9]!Rho_(11,$N18,R$3)</f>
        <v>117.52937315721205</v>
      </c>
      <c r="S18" s="1099">
        <f>[9]!Rho_(11,$N18,S$3)</f>
        <v>86.22260965211548</v>
      </c>
      <c r="T18" s="1099">
        <f>[9]!Rho_(11,$N18,T$3)</f>
        <v>42.207172836388303</v>
      </c>
      <c r="U18" s="1099">
        <f>[9]!Rho_(11,$N18,U$3)</f>
        <v>21.50816975672328</v>
      </c>
      <c r="Z18" s="1096">
        <f t="shared" si="4"/>
        <v>3</v>
      </c>
      <c r="AA18" s="1097">
        <v>8</v>
      </c>
      <c r="AB18" s="1098">
        <f>[9]!Rho_(11,Z18,AA18)</f>
        <v>21.50816975672328</v>
      </c>
      <c r="AC18" s="1099">
        <f t="shared" si="1"/>
        <v>3.6625346300877784</v>
      </c>
      <c r="AD18" s="1099">
        <f t="shared" si="1"/>
        <v>4.6465347187863326</v>
      </c>
      <c r="AE18" s="1099">
        <f t="shared" si="1"/>
        <v>6.8543855653034225</v>
      </c>
      <c r="AF18" s="1099">
        <f t="shared" si="1"/>
        <v>28.122672640736862</v>
      </c>
      <c r="AG18" s="1099">
        <f t="shared" si="1"/>
        <v>13.83376059815183</v>
      </c>
    </row>
    <row r="19" spans="5:33" ht="15.75">
      <c r="E19" s="1096">
        <v>1.05</v>
      </c>
      <c r="F19" s="1097">
        <f t="shared" si="2"/>
        <v>5</v>
      </c>
      <c r="G19" s="1098">
        <f>[9]!Rho_(11,E19,F19)</f>
        <v>12.536283356437339</v>
      </c>
      <c r="H19" s="1099">
        <f t="shared" si="0"/>
        <v>6.8718818147153131</v>
      </c>
      <c r="I19" s="1099">
        <f t="shared" si="0"/>
        <v>16.576321166976008</v>
      </c>
      <c r="J19" s="1099">
        <f t="shared" si="0"/>
        <v>4.8457427177281467</v>
      </c>
      <c r="K19" s="1099">
        <f t="shared" si="0"/>
        <v>3.7182343723895088</v>
      </c>
      <c r="L19" s="1099">
        <f t="shared" si="0"/>
        <v>3.299109675044436</v>
      </c>
      <c r="N19" s="1096">
        <f t="shared" si="3"/>
        <v>2</v>
      </c>
      <c r="O19" s="1097">
        <v>8</v>
      </c>
      <c r="P19" s="1098">
        <f>[9]!Rho_(11,N19,O19)</f>
        <v>13.446751899796622</v>
      </c>
      <c r="Q19" s="1099">
        <f>[9]!Rho_(11,$N19,Q$3)</f>
        <v>124.27519017466355</v>
      </c>
      <c r="R19" s="1099">
        <f>[9]!Rho_(11,$N19,R$3)</f>
        <v>102.84908543960121</v>
      </c>
      <c r="S19" s="1099">
        <f>[9]!Rho_(11,$N19,S$3)</f>
        <v>26.163345397495323</v>
      </c>
      <c r="T19" s="1099">
        <f>[9]!Rho_(11,$N19,T$3)</f>
        <v>21.262386447074295</v>
      </c>
      <c r="U19" s="1099">
        <f>[9]!Rho_(11,$N19,U$3)</f>
        <v>13.446751899796622</v>
      </c>
      <c r="Z19" s="1096">
        <f t="shared" si="4"/>
        <v>2</v>
      </c>
      <c r="AA19" s="1097">
        <v>8</v>
      </c>
      <c r="AB19" s="1098">
        <f>[9]!Rho_(11,Z19,AA19)</f>
        <v>13.446751899796622</v>
      </c>
      <c r="AC19" s="1099">
        <f t="shared" si="1"/>
        <v>3.9395157448097238</v>
      </c>
      <c r="AD19" s="1099">
        <f t="shared" si="1"/>
        <v>5.434299489029244</v>
      </c>
      <c r="AE19" s="1099">
        <f t="shared" si="1"/>
        <v>16.576321166976008</v>
      </c>
      <c r="AF19" s="1099">
        <f t="shared" si="1"/>
        <v>9.7391535228371282</v>
      </c>
      <c r="AG19" s="1099">
        <f t="shared" si="1"/>
        <v>7.7366929615390259</v>
      </c>
    </row>
    <row r="20" spans="5:33" ht="15.75">
      <c r="E20" s="1096">
        <v>1.05</v>
      </c>
      <c r="F20" s="1097">
        <f t="shared" si="2"/>
        <v>4</v>
      </c>
      <c r="G20" s="1098">
        <f>[9]!Rho_(11,E20,F20)</f>
        <v>130.1019517285211</v>
      </c>
      <c r="H20" s="1099">
        <f t="shared" si="0"/>
        <v>4.3656151810098009</v>
      </c>
      <c r="I20" s="1099">
        <f t="shared" si="0"/>
        <v>3.9395157448097238</v>
      </c>
      <c r="J20" s="1099">
        <f t="shared" si="0"/>
        <v>3.3211283731473267</v>
      </c>
      <c r="K20" s="1099">
        <f t="shared" si="0"/>
        <v>2.8820946111192858</v>
      </c>
      <c r="L20" s="1099">
        <f t="shared" si="0"/>
        <v>2.6343965813312566</v>
      </c>
      <c r="N20" s="1096">
        <f t="shared" si="3"/>
        <v>1</v>
      </c>
      <c r="O20" s="1097">
        <v>8</v>
      </c>
      <c r="P20" s="1098">
        <f>[9]!Rho_(11,N20,O20)</f>
        <v>6.3442842087778626</v>
      </c>
      <c r="Q20" s="1099">
        <f>[9]!Rho_(11,$N20,Q$3)</f>
        <v>14.251128215182785</v>
      </c>
      <c r="R20" s="1099">
        <f>[9]!Rho_(11,$N20,R$3)</f>
        <v>11.780297733711095</v>
      </c>
      <c r="S20" s="1099">
        <f>[9]!Rho_(11,$N20,S$3)</f>
        <v>10.183129853085664</v>
      </c>
      <c r="T20" s="1099">
        <f>[9]!Rho_(11,$N20,T$3)</f>
        <v>9.0275950048100917</v>
      </c>
      <c r="U20" s="1099">
        <f>[9]!Rho_(11,$N20,U$3)</f>
        <v>6.3442842087778626</v>
      </c>
      <c r="Z20" s="1096">
        <f t="shared" si="4"/>
        <v>1</v>
      </c>
      <c r="AA20" s="1097">
        <v>8</v>
      </c>
      <c r="AB20" s="1098">
        <f>[9]!Rho_(11,Z20,AA20)</f>
        <v>6.3442842087778626</v>
      </c>
      <c r="AC20" s="1099">
        <f t="shared" si="1"/>
        <v>4.3960393931815709</v>
      </c>
      <c r="AD20" s="1099">
        <f t="shared" si="1"/>
        <v>7.7101044020798621</v>
      </c>
      <c r="AE20" s="1099">
        <f t="shared" si="1"/>
        <v>6.7353254852517956</v>
      </c>
      <c r="AF20" s="1099">
        <f t="shared" si="1"/>
        <v>6.2757759872617909</v>
      </c>
      <c r="AG20" s="1099">
        <f t="shared" si="1"/>
        <v>6.0109485268976481</v>
      </c>
    </row>
    <row r="48" spans="6:6">
      <c r="F48" s="133" t="s">
        <v>96</v>
      </c>
    </row>
    <row r="50" spans="6:23">
      <c r="G50" s="134" t="s">
        <v>518</v>
      </c>
      <c r="H50" s="134" t="s">
        <v>518</v>
      </c>
      <c r="I50" s="134" t="s">
        <v>518</v>
      </c>
      <c r="J50" s="134" t="s">
        <v>518</v>
      </c>
      <c r="K50" s="134" t="s">
        <v>518</v>
      </c>
    </row>
    <row r="51" spans="6:23" ht="15.75">
      <c r="G51" s="1096">
        <v>1</v>
      </c>
      <c r="H51" s="1096">
        <f>G51+0.5</f>
        <v>1.5</v>
      </c>
      <c r="I51" s="1096">
        <f t="shared" ref="I51:W51" si="5">H51+0.5</f>
        <v>2</v>
      </c>
      <c r="J51" s="1096">
        <f t="shared" si="5"/>
        <v>2.5</v>
      </c>
      <c r="K51" s="1096">
        <f t="shared" si="5"/>
        <v>3</v>
      </c>
      <c r="L51" s="1096">
        <f t="shared" si="5"/>
        <v>3.5</v>
      </c>
      <c r="M51" s="1096">
        <f t="shared" si="5"/>
        <v>4</v>
      </c>
      <c r="N51" s="1096">
        <f t="shared" si="5"/>
        <v>4.5</v>
      </c>
      <c r="O51" s="1096">
        <f t="shared" si="5"/>
        <v>5</v>
      </c>
      <c r="P51" s="1096">
        <f t="shared" si="5"/>
        <v>5.5</v>
      </c>
      <c r="Q51" s="1096">
        <f t="shared" si="5"/>
        <v>6</v>
      </c>
      <c r="R51" s="1096">
        <f t="shared" si="5"/>
        <v>6.5</v>
      </c>
      <c r="S51" s="1096">
        <f t="shared" si="5"/>
        <v>7</v>
      </c>
      <c r="T51" s="1096">
        <f t="shared" si="5"/>
        <v>7.5</v>
      </c>
      <c r="U51" s="1096">
        <f t="shared" si="5"/>
        <v>8</v>
      </c>
      <c r="V51" s="1096">
        <f t="shared" si="5"/>
        <v>8.5</v>
      </c>
      <c r="W51" s="1096">
        <f t="shared" si="5"/>
        <v>9</v>
      </c>
    </row>
    <row r="52" spans="6:23" ht="15.75">
      <c r="F52" s="1097">
        <v>3</v>
      </c>
      <c r="G52" s="1099">
        <f t="shared" ref="G52:P61" si="6">[9]!cp_(11,G$51,$F52)</f>
        <v>2.4960082906945313</v>
      </c>
      <c r="H52" s="1099">
        <f t="shared" si="6"/>
        <v>2.4385303931907525</v>
      </c>
      <c r="I52" s="1099">
        <f t="shared" si="6"/>
        <v>2.3866551642183591</v>
      </c>
      <c r="J52" s="1099">
        <f t="shared" si="6"/>
        <v>2.3393771966588295</v>
      </c>
      <c r="K52" s="1099">
        <f t="shared" si="6"/>
        <v>2.2959392822497517</v>
      </c>
      <c r="L52" s="1099">
        <f t="shared" si="6"/>
        <v>2.2557574482951326</v>
      </c>
      <c r="M52" s="1099">
        <f t="shared" si="6"/>
        <v>2.2183721200630222</v>
      </c>
      <c r="N52" s="1099">
        <f t="shared" si="6"/>
        <v>2.1834152577137624</v>
      </c>
      <c r="O52" s="1099">
        <f t="shared" si="6"/>
        <v>2.1505876169283034</v>
      </c>
      <c r="P52" s="1099">
        <f t="shared" si="6"/>
        <v>2.1196426272314244</v>
      </c>
      <c r="Q52" s="1099">
        <f t="shared" ref="Q52:W61" si="7">[9]!cp_(11,Q$51,$F52)</f>
        <v>2.0903747149775653</v>
      </c>
      <c r="R52" s="1099">
        <f t="shared" si="7"/>
        <v>2.0626106837065414</v>
      </c>
      <c r="S52" s="1099">
        <f t="shared" si="7"/>
        <v>2.0362032427325292</v>
      </c>
      <c r="T52" s="1099">
        <f t="shared" si="7"/>
        <v>2.011026074134274</v>
      </c>
      <c r="U52" s="1099">
        <f t="shared" si="7"/>
        <v>1.9869700204466898</v>
      </c>
      <c r="V52" s="1099">
        <f t="shared" si="7"/>
        <v>1.9639401015095468</v>
      </c>
      <c r="W52" s="1099">
        <f t="shared" si="7"/>
        <v>1.9418531534752408</v>
      </c>
    </row>
    <row r="53" spans="6:23" ht="15.75">
      <c r="F53" s="1097">
        <f>F52+0.4</f>
        <v>3.4</v>
      </c>
      <c r="G53" s="1099">
        <f t="shared" si="6"/>
        <v>3.1081555003036097</v>
      </c>
      <c r="H53" s="1099">
        <f t="shared" si="6"/>
        <v>3.0196227399108886</v>
      </c>
      <c r="I53" s="1099">
        <f t="shared" si="6"/>
        <v>2.9433535156508994</v>
      </c>
      <c r="J53" s="1099">
        <f t="shared" si="6"/>
        <v>2.876455333067935</v>
      </c>
      <c r="K53" s="1099">
        <f t="shared" si="6"/>
        <v>2.8169260934082989</v>
      </c>
      <c r="L53" s="1099">
        <f t="shared" si="6"/>
        <v>2.7633282253848046</v>
      </c>
      <c r="M53" s="1099">
        <f t="shared" si="6"/>
        <v>2.7145979170318233</v>
      </c>
      <c r="N53" s="1099">
        <f t="shared" si="6"/>
        <v>2.669927837423876</v>
      </c>
      <c r="O53" s="1099">
        <f t="shared" si="6"/>
        <v>2.6286920444045641</v>
      </c>
      <c r="P53" s="1099">
        <f t="shared" si="6"/>
        <v>2.5903962213999305</v>
      </c>
      <c r="Q53" s="1099">
        <f t="shared" si="7"/>
        <v>2.5546437132210458</v>
      </c>
      <c r="R53" s="1099">
        <f t="shared" si="7"/>
        <v>2.5211117449554963</v>
      </c>
      <c r="S53" s="1099">
        <f t="shared" si="7"/>
        <v>2.4895343941287988</v>
      </c>
      <c r="T53" s="1099">
        <f t="shared" si="7"/>
        <v>2.4596901550828028</v>
      </c>
      <c r="U53" s="1099">
        <f t="shared" si="7"/>
        <v>2.4313926960497008</v>
      </c>
      <c r="V53" s="1099">
        <f t="shared" si="7"/>
        <v>2.4044838802326587</v>
      </c>
      <c r="W53" s="1099">
        <f t="shared" si="7"/>
        <v>2.3788284210779498</v>
      </c>
    </row>
    <row r="54" spans="6:23" ht="15.75">
      <c r="F54" s="1097">
        <f t="shared" ref="F54:F68" si="8">F53+0.4</f>
        <v>3.8</v>
      </c>
      <c r="G54" s="1099">
        <f t="shared" si="6"/>
        <v>3.8740276185625828</v>
      </c>
      <c r="H54" s="1099">
        <f t="shared" si="6"/>
        <v>3.7047554852947253</v>
      </c>
      <c r="I54" s="1099">
        <f t="shared" si="6"/>
        <v>3.570219246792588</v>
      </c>
      <c r="J54" s="1099">
        <f t="shared" si="6"/>
        <v>3.4593750403650154</v>
      </c>
      <c r="K54" s="1099">
        <f t="shared" si="6"/>
        <v>3.3655677636944574</v>
      </c>
      <c r="L54" s="1099">
        <f t="shared" si="6"/>
        <v>3.2845144029637114</v>
      </c>
      <c r="M54" s="1099">
        <f t="shared" si="6"/>
        <v>3.2133154750065582</v>
      </c>
      <c r="N54" s="1099">
        <f t="shared" si="6"/>
        <v>3.1499275998974019</v>
      </c>
      <c r="O54" s="1099">
        <f t="shared" si="6"/>
        <v>3.0928628201927966</v>
      </c>
      <c r="P54" s="1099">
        <f t="shared" si="6"/>
        <v>3.0410077821593369</v>
      </c>
      <c r="Q54" s="1099">
        <f t="shared" si="7"/>
        <v>2.9935101051126209</v>
      </c>
      <c r="R54" s="1099">
        <f t="shared" si="7"/>
        <v>2.9497042863563867</v>
      </c>
      <c r="S54" s="1099">
        <f t="shared" si="7"/>
        <v>2.9090618417054457</v>
      </c>
      <c r="T54" s="1099">
        <f t="shared" si="7"/>
        <v>2.8711568314561586</v>
      </c>
      <c r="U54" s="1099">
        <f t="shared" si="7"/>
        <v>2.835641453636299</v>
      </c>
      <c r="V54" s="1099">
        <f t="shared" si="7"/>
        <v>2.8022284012954652</v>
      </c>
      <c r="W54" s="1099">
        <f t="shared" si="7"/>
        <v>2.7706778717596063</v>
      </c>
    </row>
    <row r="55" spans="6:23" ht="15.75">
      <c r="F55" s="1097">
        <f t="shared" si="8"/>
        <v>4.2</v>
      </c>
      <c r="G55" s="1099">
        <f t="shared" si="6"/>
        <v>5.1607890448673377</v>
      </c>
      <c r="H55" s="1099">
        <f t="shared" si="6"/>
        <v>4.7003746208841042</v>
      </c>
      <c r="I55" s="1099">
        <f t="shared" si="6"/>
        <v>4.394583538441764</v>
      </c>
      <c r="J55" s="1099">
        <f t="shared" si="6"/>
        <v>4.1715118473550721</v>
      </c>
      <c r="K55" s="1099">
        <f t="shared" si="6"/>
        <v>3.9987475453316992</v>
      </c>
      <c r="L55" s="1099">
        <f t="shared" si="6"/>
        <v>3.859267884257525</v>
      </c>
      <c r="M55" s="1099">
        <f t="shared" si="6"/>
        <v>3.7431679618868015</v>
      </c>
      <c r="N55" s="1099">
        <f t="shared" si="6"/>
        <v>3.6442423734772031</v>
      </c>
      <c r="O55" s="1099">
        <f t="shared" si="6"/>
        <v>3.558379541273625</v>
      </c>
      <c r="P55" s="1099">
        <f t="shared" si="6"/>
        <v>3.4827327547428317</v>
      </c>
      <c r="Q55" s="1099">
        <f t="shared" si="7"/>
        <v>3.41525987282205</v>
      </c>
      <c r="R55" s="1099">
        <f t="shared" si="7"/>
        <v>3.3544524498603945</v>
      </c>
      <c r="S55" s="1099">
        <f t="shared" si="7"/>
        <v>3.2991685851354147</v>
      </c>
      <c r="T55" s="1099">
        <f t="shared" si="7"/>
        <v>3.2485256156875586</v>
      </c>
      <c r="U55" s="1099">
        <f t="shared" si="7"/>
        <v>3.2018288797809391</v>
      </c>
      <c r="V55" s="1099">
        <f t="shared" si="7"/>
        <v>3.158523045980743</v>
      </c>
      <c r="W55" s="1099">
        <f t="shared" si="7"/>
        <v>3.1181580188323843</v>
      </c>
    </row>
    <row r="56" spans="6:23" ht="15.75">
      <c r="F56" s="1097">
        <f t="shared" si="8"/>
        <v>4.6000000000000005</v>
      </c>
      <c r="G56" s="1099">
        <f t="shared" si="6"/>
        <v>7.4361254273639492</v>
      </c>
      <c r="H56" s="1099">
        <f t="shared" si="6"/>
        <v>7.2493968174041115</v>
      </c>
      <c r="I56" s="1099">
        <f t="shared" si="6"/>
        <v>5.9837784623330359</v>
      </c>
      <c r="J56" s="1099">
        <f t="shared" si="6"/>
        <v>5.336881893792075</v>
      </c>
      <c r="K56" s="1099">
        <f t="shared" si="6"/>
        <v>4.9277022049139507</v>
      </c>
      <c r="L56" s="1099">
        <f t="shared" si="6"/>
        <v>4.6385432411057828</v>
      </c>
      <c r="M56" s="1099">
        <f t="shared" si="6"/>
        <v>4.4197046278348431</v>
      </c>
      <c r="N56" s="1099">
        <f t="shared" si="6"/>
        <v>4.2461693618952223</v>
      </c>
      <c r="O56" s="1099">
        <f t="shared" si="6"/>
        <v>4.1038169638613686</v>
      </c>
      <c r="P56" s="1099">
        <f t="shared" si="6"/>
        <v>3.9840034025694337</v>
      </c>
      <c r="Q56" s="1099">
        <f t="shared" si="7"/>
        <v>3.8811056539016509</v>
      </c>
      <c r="R56" s="1099">
        <f t="shared" si="7"/>
        <v>3.7912888015847757</v>
      </c>
      <c r="S56" s="1099">
        <f t="shared" si="7"/>
        <v>3.7118364507038217</v>
      </c>
      <c r="T56" s="1099">
        <f t="shared" si="7"/>
        <v>3.6407638030350116</v>
      </c>
      <c r="U56" s="1099">
        <f t="shared" si="7"/>
        <v>3.5765825196427645</v>
      </c>
      <c r="V56" s="1099">
        <f t="shared" si="7"/>
        <v>3.5181517307319412</v>
      </c>
      <c r="W56" s="1099">
        <f t="shared" si="7"/>
        <v>3.4645802456812591</v>
      </c>
    </row>
    <row r="57" spans="6:23" ht="15.75">
      <c r="F57" s="1097">
        <f t="shared" si="8"/>
        <v>5.0000000000000009</v>
      </c>
      <c r="G57" s="1099">
        <f t="shared" si="6"/>
        <v>6.7353254852517956</v>
      </c>
      <c r="H57" s="1099">
        <f t="shared" si="6"/>
        <v>9.0077906714120246</v>
      </c>
      <c r="I57" s="1099">
        <f t="shared" si="6"/>
        <v>16.576321166976044</v>
      </c>
      <c r="J57" s="1099">
        <f t="shared" si="6"/>
        <v>8.6218740870293082</v>
      </c>
      <c r="K57" s="1099">
        <f t="shared" si="6"/>
        <v>6.8543855653034402</v>
      </c>
      <c r="L57" s="1099">
        <f t="shared" si="6"/>
        <v>6.0003402129179841</v>
      </c>
      <c r="M57" s="1099">
        <f t="shared" si="6"/>
        <v>5.4770099081938461</v>
      </c>
      <c r="N57" s="1099">
        <f t="shared" si="6"/>
        <v>5.1151411556860138</v>
      </c>
      <c r="O57" s="1099">
        <f t="shared" si="6"/>
        <v>4.8457427177281476</v>
      </c>
      <c r="P57" s="1099">
        <f t="shared" si="6"/>
        <v>4.6349163864192207</v>
      </c>
      <c r="Q57" s="1099">
        <f t="shared" si="7"/>
        <v>4.4638710948926548</v>
      </c>
      <c r="R57" s="1099">
        <f t="shared" si="7"/>
        <v>4.3212663535937823</v>
      </c>
      <c r="S57" s="1099">
        <f t="shared" si="7"/>
        <v>4.1998106034894063</v>
      </c>
      <c r="T57" s="1099">
        <f t="shared" si="7"/>
        <v>4.0945795554797666</v>
      </c>
      <c r="U57" s="1099">
        <f t="shared" si="7"/>
        <v>4.0021144746548565</v>
      </c>
      <c r="V57" s="1099">
        <f t="shared" si="7"/>
        <v>3.9199067119129265</v>
      </c>
      <c r="W57" s="1099">
        <f t="shared" si="7"/>
        <v>3.8460873473237878</v>
      </c>
    </row>
    <row r="58" spans="6:23" ht="15.75">
      <c r="F58" s="1097">
        <f t="shared" si="8"/>
        <v>5.4000000000000012</v>
      </c>
      <c r="G58" s="1099">
        <f t="shared" si="6"/>
        <v>6.347006827094992</v>
      </c>
      <c r="H58" s="1099">
        <f t="shared" si="6"/>
        <v>7.5546207376765286</v>
      </c>
      <c r="I58" s="1099">
        <f t="shared" si="6"/>
        <v>10.610491866512985</v>
      </c>
      <c r="J58" s="1099">
        <f t="shared" si="6"/>
        <v>36.60069604345523</v>
      </c>
      <c r="K58" s="1099">
        <f t="shared" si="6"/>
        <v>16.696633047810511</v>
      </c>
      <c r="L58" s="1099">
        <f t="shared" si="6"/>
        <v>9.6863789443616053</v>
      </c>
      <c r="M58" s="1099">
        <f t="shared" si="6"/>
        <v>7.651727032021423</v>
      </c>
      <c r="N58" s="1099">
        <f t="shared" si="6"/>
        <v>6.6399003035552138</v>
      </c>
      <c r="O58" s="1099">
        <f t="shared" si="6"/>
        <v>6.0179831612823413</v>
      </c>
      <c r="P58" s="1099">
        <f t="shared" si="6"/>
        <v>5.5892900451264635</v>
      </c>
      <c r="Q58" s="1099">
        <f t="shared" si="7"/>
        <v>5.2717192858222335</v>
      </c>
      <c r="R58" s="1099">
        <f t="shared" si="7"/>
        <v>5.0245384916621552</v>
      </c>
      <c r="S58" s="1099">
        <f t="shared" si="7"/>
        <v>4.8250830619878196</v>
      </c>
      <c r="T58" s="1099">
        <f t="shared" si="7"/>
        <v>4.6596622266373</v>
      </c>
      <c r="U58" s="1099">
        <f t="shared" si="7"/>
        <v>4.5194782030560932</v>
      </c>
      <c r="V58" s="1099">
        <f t="shared" si="7"/>
        <v>4.3985975400963211</v>
      </c>
      <c r="W58" s="1099">
        <f t="shared" si="7"/>
        <v>4.2928601386488197</v>
      </c>
    </row>
    <row r="59" spans="6:23" ht="15.75">
      <c r="F59" s="1097">
        <f t="shared" si="8"/>
        <v>5.8000000000000016</v>
      </c>
      <c r="G59" s="1099">
        <f t="shared" si="6"/>
        <v>6.1018917687793621</v>
      </c>
      <c r="H59" s="1099">
        <f t="shared" si="6"/>
        <v>6.8905931721158602</v>
      </c>
      <c r="I59" s="1099">
        <f t="shared" si="6"/>
        <v>8.28033183507514</v>
      </c>
      <c r="J59" s="1099">
        <f t="shared" si="6"/>
        <v>11.391003044512111</v>
      </c>
      <c r="K59" s="1099">
        <f t="shared" si="6"/>
        <v>19.966292344636202</v>
      </c>
      <c r="L59" s="1099">
        <f t="shared" si="6"/>
        <v>22.864808450664022</v>
      </c>
      <c r="M59" s="1099">
        <f t="shared" si="6"/>
        <v>14.170647980104478</v>
      </c>
      <c r="N59" s="1099">
        <f t="shared" si="6"/>
        <v>10.076543543345601</v>
      </c>
      <c r="O59" s="1099">
        <f t="shared" si="6"/>
        <v>8.218912793858312</v>
      </c>
      <c r="P59" s="1099">
        <f t="shared" si="6"/>
        <v>7.1770387148281003</v>
      </c>
      <c r="Q59" s="1099">
        <f t="shared" si="7"/>
        <v>6.5059493720554888</v>
      </c>
      <c r="R59" s="1099">
        <f t="shared" si="7"/>
        <v>6.0333489552457653</v>
      </c>
      <c r="S59" s="1099">
        <f t="shared" si="7"/>
        <v>5.6795839936530799</v>
      </c>
      <c r="T59" s="1099">
        <f t="shared" si="7"/>
        <v>5.4028562206138986</v>
      </c>
      <c r="U59" s="1099">
        <f t="shared" si="7"/>
        <v>5.1791035518710062</v>
      </c>
      <c r="V59" s="1099">
        <f t="shared" si="7"/>
        <v>4.9934683898817998</v>
      </c>
      <c r="W59" s="1099">
        <f t="shared" si="7"/>
        <v>4.8362607358113623</v>
      </c>
    </row>
    <row r="60" spans="6:23" ht="15.75">
      <c r="F60" s="1097">
        <f t="shared" si="8"/>
        <v>6.200000000000002</v>
      </c>
      <c r="G60" s="1099">
        <f t="shared" si="6"/>
        <v>5.9346445494565909</v>
      </c>
      <c r="H60" s="1099">
        <f t="shared" si="6"/>
        <v>6.5048903789701304</v>
      </c>
      <c r="I60" s="1099">
        <f t="shared" si="6"/>
        <v>7.3524747941726689</v>
      </c>
      <c r="J60" s="1099">
        <f t="shared" si="6"/>
        <v>8.7400548103993554</v>
      </c>
      <c r="K60" s="1099">
        <f t="shared" si="6"/>
        <v>11.196022001151183</v>
      </c>
      <c r="L60" s="1099">
        <f t="shared" si="6"/>
        <v>14.912270902454171</v>
      </c>
      <c r="M60" s="1099">
        <f t="shared" si="6"/>
        <v>16.822881366181832</v>
      </c>
      <c r="N60" s="1099">
        <f t="shared" si="6"/>
        <v>15.145004066791214</v>
      </c>
      <c r="O60" s="1099">
        <f t="shared" si="6"/>
        <v>12.157092363859743</v>
      </c>
      <c r="P60" s="1099">
        <f t="shared" si="6"/>
        <v>9.9128662580212605</v>
      </c>
      <c r="Q60" s="1099">
        <f t="shared" si="7"/>
        <v>8.4859211899108278</v>
      </c>
      <c r="R60" s="1099">
        <f t="shared" si="7"/>
        <v>7.5492390803045355</v>
      </c>
      <c r="S60" s="1099">
        <f t="shared" si="7"/>
        <v>6.8960095911237298</v>
      </c>
      <c r="T60" s="1099">
        <f t="shared" si="7"/>
        <v>6.4152872322660519</v>
      </c>
      <c r="U60" s="1099">
        <f t="shared" si="7"/>
        <v>6.0459277997678509</v>
      </c>
      <c r="V60" s="1099">
        <f t="shared" si="7"/>
        <v>5.7522812914516326</v>
      </c>
      <c r="W60" s="1099">
        <f t="shared" si="7"/>
        <v>5.512378672457154</v>
      </c>
    </row>
    <row r="61" spans="6:23" ht="15.75">
      <c r="F61" s="1097">
        <f t="shared" si="8"/>
        <v>6.6000000000000023</v>
      </c>
      <c r="G61" s="1099">
        <f t="shared" si="6"/>
        <v>5.8142162783199201</v>
      </c>
      <c r="H61" s="1099">
        <f t="shared" si="6"/>
        <v>6.2528392685972376</v>
      </c>
      <c r="I61" s="1099">
        <f t="shared" si="6"/>
        <v>6.8426200404756461</v>
      </c>
      <c r="J61" s="1099">
        <f t="shared" si="6"/>
        <v>7.6746744427441485</v>
      </c>
      <c r="K61" s="1099">
        <f t="shared" si="6"/>
        <v>8.8864387249097767</v>
      </c>
      <c r="L61" s="1099">
        <f t="shared" si="6"/>
        <v>10.586849504309845</v>
      </c>
      <c r="M61" s="1099">
        <f t="shared" si="6"/>
        <v>12.458580778934076</v>
      </c>
      <c r="N61" s="1099">
        <f t="shared" si="6"/>
        <v>13.507021723752684</v>
      </c>
      <c r="O61" s="1099">
        <f t="shared" si="6"/>
        <v>13.314832040737416</v>
      </c>
      <c r="P61" s="1099">
        <f t="shared" si="6"/>
        <v>12.235429470925402</v>
      </c>
      <c r="Q61" s="1099">
        <f t="shared" si="7"/>
        <v>10.810990546012613</v>
      </c>
      <c r="R61" s="1099">
        <f t="shared" si="7"/>
        <v>9.5196288039092565</v>
      </c>
      <c r="S61" s="1099">
        <f t="shared" si="7"/>
        <v>8.50950096923758</v>
      </c>
      <c r="T61" s="1099">
        <f t="shared" si="7"/>
        <v>7.7464594547550787</v>
      </c>
      <c r="U61" s="1099">
        <f t="shared" si="7"/>
        <v>7.1649758937776342</v>
      </c>
      <c r="V61" s="1099">
        <f t="shared" si="7"/>
        <v>6.7120300950017517</v>
      </c>
      <c r="W61" s="1099">
        <f t="shared" si="7"/>
        <v>6.3506890681817216</v>
      </c>
    </row>
    <row r="62" spans="6:23" ht="15.75">
      <c r="F62" s="1097">
        <f t="shared" si="8"/>
        <v>7.0000000000000027</v>
      </c>
      <c r="G62" s="1099">
        <f t="shared" ref="G62:P68" si="9">[9]!cp_(11,G$51,$F62)</f>
        <v>5.7239268848684235</v>
      </c>
      <c r="H62" s="1099">
        <f t="shared" si="9"/>
        <v>6.075789889309025</v>
      </c>
      <c r="I62" s="1099">
        <f t="shared" si="9"/>
        <v>6.518650656420375</v>
      </c>
      <c r="J62" s="1099">
        <f t="shared" si="9"/>
        <v>7.0910059518225044</v>
      </c>
      <c r="K62" s="1099">
        <f t="shared" si="9"/>
        <v>7.8413097103160005</v>
      </c>
      <c r="L62" s="1099">
        <f t="shared" si="9"/>
        <v>8.8074877780627752</v>
      </c>
      <c r="M62" s="1099">
        <f t="shared" si="9"/>
        <v>9.9438904164059494</v>
      </c>
      <c r="N62" s="1099">
        <f t="shared" si="9"/>
        <v>11.008494459473972</v>
      </c>
      <c r="O62" s="1099">
        <f t="shared" si="9"/>
        <v>11.647407039340925</v>
      </c>
      <c r="P62" s="1099">
        <f t="shared" si="9"/>
        <v>11.733482017579243</v>
      </c>
      <c r="Q62" s="1099">
        <f t="shared" ref="Q62:W68" si="10">[9]!cp_(11,Q$51,$F62)</f>
        <v>11.371170873399986</v>
      </c>
      <c r="R62" s="1099">
        <f t="shared" si="10"/>
        <v>10.702349788004309</v>
      </c>
      <c r="S62" s="1099">
        <f t="shared" si="10"/>
        <v>9.8929682357862152</v>
      </c>
      <c r="T62" s="1099">
        <f t="shared" si="10"/>
        <v>9.0960542315813804</v>
      </c>
      <c r="U62" s="1099">
        <f t="shared" si="10"/>
        <v>8.3935584795930218</v>
      </c>
      <c r="V62" s="1099">
        <f t="shared" si="10"/>
        <v>7.8045741349292408</v>
      </c>
      <c r="W62" s="1099">
        <f t="shared" si="10"/>
        <v>7.3186928356741321</v>
      </c>
    </row>
    <row r="63" spans="6:23" ht="15.75">
      <c r="F63" s="1097">
        <f t="shared" si="8"/>
        <v>7.400000000000003</v>
      </c>
      <c r="G63" s="1099">
        <f t="shared" si="9"/>
        <v>5.6540475969701518</v>
      </c>
      <c r="H63" s="1099">
        <f t="shared" si="9"/>
        <v>5.94505363840379</v>
      </c>
      <c r="I63" s="1099">
        <f t="shared" si="9"/>
        <v>6.29459768210058</v>
      </c>
      <c r="J63" s="1099">
        <f t="shared" si="9"/>
        <v>6.7210097807387532</v>
      </c>
      <c r="K63" s="1099">
        <f t="shared" si="9"/>
        <v>7.2445451032216415</v>
      </c>
      <c r="L63" s="1099">
        <f t="shared" si="9"/>
        <v>7.879745636237768</v>
      </c>
      <c r="M63" s="1099">
        <f t="shared" si="9"/>
        <v>8.6158269607330471</v>
      </c>
      <c r="N63" s="1099">
        <f t="shared" si="9"/>
        <v>9.3850189007864007</v>
      </c>
      <c r="O63" s="1099">
        <f t="shared" si="9"/>
        <v>10.051413253522712</v>
      </c>
      <c r="P63" s="1099">
        <f t="shared" si="9"/>
        <v>10.476312164598744</v>
      </c>
      <c r="Q63" s="1099">
        <f t="shared" si="10"/>
        <v>10.612735203457932</v>
      </c>
      <c r="R63" s="1099">
        <f t="shared" si="10"/>
        <v>10.499166231379698</v>
      </c>
      <c r="S63" s="1099">
        <f t="shared" si="10"/>
        <v>10.193228997910065</v>
      </c>
      <c r="T63" s="1099">
        <f t="shared" si="10"/>
        <v>9.7521101808358548</v>
      </c>
      <c r="U63" s="1099">
        <f t="shared" si="10"/>
        <v>9.2392453578923011</v>
      </c>
      <c r="V63" s="1099">
        <f t="shared" si="10"/>
        <v>8.7145100709550842</v>
      </c>
      <c r="W63" s="1099">
        <f t="shared" si="10"/>
        <v>8.2192411838408326</v>
      </c>
    </row>
    <row r="64" spans="6:23" ht="15.75">
      <c r="F64" s="1097">
        <f t="shared" si="8"/>
        <v>7.8000000000000034</v>
      </c>
      <c r="G64" s="1099">
        <f t="shared" si="9"/>
        <v>5.5985525122917794</v>
      </c>
      <c r="H64" s="1099">
        <f t="shared" si="9"/>
        <v>5.8448594709678527</v>
      </c>
      <c r="I64" s="1099">
        <f t="shared" si="9"/>
        <v>6.1306475335003245</v>
      </c>
      <c r="J64" s="1099">
        <f t="shared" si="9"/>
        <v>6.4653615090355894</v>
      </c>
      <c r="K64" s="1099">
        <f t="shared" si="9"/>
        <v>6.858403607735136</v>
      </c>
      <c r="L64" s="1099">
        <f t="shared" si="9"/>
        <v>7.3158042689816591</v>
      </c>
      <c r="M64" s="1099">
        <f t="shared" si="9"/>
        <v>7.8334534747831421</v>
      </c>
      <c r="N64" s="1099">
        <f t="shared" si="9"/>
        <v>8.3869395929566366</v>
      </c>
      <c r="O64" s="1099">
        <f t="shared" si="9"/>
        <v>8.9239521811750766</v>
      </c>
      <c r="P64" s="1099">
        <f t="shared" si="9"/>
        <v>9.3730800480159395</v>
      </c>
      <c r="Q64" s="1099">
        <f t="shared" si="10"/>
        <v>9.6747110512596084</v>
      </c>
      <c r="R64" s="1099">
        <f t="shared" si="10"/>
        <v>9.808982745152198</v>
      </c>
      <c r="S64" s="1099">
        <f t="shared" si="10"/>
        <v>9.7916245794534245</v>
      </c>
      <c r="T64" s="1099">
        <f t="shared" si="10"/>
        <v>9.6505437797952744</v>
      </c>
      <c r="U64" s="1099">
        <f t="shared" si="10"/>
        <v>9.4126457768409857</v>
      </c>
      <c r="V64" s="1099">
        <f t="shared" si="10"/>
        <v>9.1045896947667586</v>
      </c>
      <c r="W64" s="1099">
        <f t="shared" si="10"/>
        <v>8.7547021534070986</v>
      </c>
    </row>
    <row r="65" spans="6:23" ht="15.75">
      <c r="F65" s="1097">
        <f t="shared" si="8"/>
        <v>8.2000000000000028</v>
      </c>
      <c r="G65" s="1099">
        <f t="shared" si="9"/>
        <v>5.553530832477402</v>
      </c>
      <c r="H65" s="1099">
        <f t="shared" si="9"/>
        <v>5.7658131897391049</v>
      </c>
      <c r="I65" s="1099">
        <f t="shared" si="9"/>
        <v>6.0056792182100249</v>
      </c>
      <c r="J65" s="1099">
        <f t="shared" si="9"/>
        <v>6.2782662674658836</v>
      </c>
      <c r="K65" s="1099">
        <f t="shared" si="9"/>
        <v>6.5882364931262227</v>
      </c>
      <c r="L65" s="1099">
        <f t="shared" si="9"/>
        <v>6.9381747959394477</v>
      </c>
      <c r="M65" s="1099">
        <f t="shared" si="9"/>
        <v>7.3258346676774515</v>
      </c>
      <c r="N65" s="1099">
        <f t="shared" si="9"/>
        <v>7.7403416176775144</v>
      </c>
      <c r="O65" s="1099">
        <f t="shared" si="9"/>
        <v>8.1588461728721562</v>
      </c>
      <c r="P65" s="1099">
        <f t="shared" si="9"/>
        <v>8.5471416011295815</v>
      </c>
      <c r="Q65" s="1099">
        <f t="shared" si="10"/>
        <v>8.8676688235003542</v>
      </c>
      <c r="R65" s="1099">
        <f t="shared" si="10"/>
        <v>9.0926241186366354</v>
      </c>
      <c r="S65" s="1099">
        <f t="shared" si="10"/>
        <v>9.2127414841390287</v>
      </c>
      <c r="T65" s="1099">
        <f t="shared" si="10"/>
        <v>9.2350401836434344</v>
      </c>
      <c r="U65" s="1099">
        <f t="shared" si="10"/>
        <v>9.1739141575106249</v>
      </c>
      <c r="V65" s="1099">
        <f t="shared" si="10"/>
        <v>9.0442980090417038</v>
      </c>
      <c r="W65" s="1099">
        <f t="shared" si="10"/>
        <v>8.860053835121974</v>
      </c>
    </row>
    <row r="66" spans="6:23" ht="15.75">
      <c r="F66" s="1097">
        <f t="shared" si="8"/>
        <v>8.6000000000000032</v>
      </c>
      <c r="G66" s="1099">
        <f t="shared" si="9"/>
        <v>5.5163464648988798</v>
      </c>
      <c r="H66" s="1099">
        <f t="shared" si="9"/>
        <v>5.7019783058296918</v>
      </c>
      <c r="I66" s="1099">
        <f t="shared" si="9"/>
        <v>5.9074106167971063</v>
      </c>
      <c r="J66" s="1099">
        <f t="shared" si="9"/>
        <v>6.135543126282494</v>
      </c>
      <c r="K66" s="1099">
        <f t="shared" si="9"/>
        <v>6.3887790168272671</v>
      </c>
      <c r="L66" s="1099">
        <f t="shared" si="9"/>
        <v>6.6681972259736</v>
      </c>
      <c r="M66" s="1099">
        <f t="shared" si="9"/>
        <v>6.9722963436390124</v>
      </c>
      <c r="N66" s="1099">
        <f t="shared" si="9"/>
        <v>7.2953921206227541</v>
      </c>
      <c r="O66" s="1099">
        <f t="shared" si="9"/>
        <v>7.6261453771736463</v>
      </c>
      <c r="P66" s="1099">
        <f t="shared" si="9"/>
        <v>7.9472566020269859</v>
      </c>
      <c r="Q66" s="1099">
        <f t="shared" si="10"/>
        <v>8.2375718800175655</v>
      </c>
      <c r="R66" s="1099">
        <f t="shared" si="10"/>
        <v>8.4768371888623761</v>
      </c>
      <c r="S66" s="1099">
        <f t="shared" si="10"/>
        <v>8.6511466090640265</v>
      </c>
      <c r="T66" s="1099">
        <f t="shared" si="10"/>
        <v>8.7558453121588737</v>
      </c>
      <c r="U66" s="1099">
        <f t="shared" si="10"/>
        <v>8.7943340380099109</v>
      </c>
      <c r="V66" s="1099">
        <f t="shared" si="10"/>
        <v>8.7743811869405715</v>
      </c>
      <c r="W66" s="1099">
        <f t="shared" si="10"/>
        <v>8.7047754544023057</v>
      </c>
    </row>
    <row r="67" spans="6:23" ht="15.75">
      <c r="F67" s="1097">
        <f t="shared" si="8"/>
        <v>9.0000000000000036</v>
      </c>
      <c r="G67" s="1099">
        <f t="shared" si="9"/>
        <v>5.4851653079591607</v>
      </c>
      <c r="H67" s="1099">
        <f t="shared" si="9"/>
        <v>5.649427422345477</v>
      </c>
      <c r="I67" s="1099">
        <f t="shared" si="9"/>
        <v>5.8282078919835039</v>
      </c>
      <c r="J67" s="1099">
        <f t="shared" si="9"/>
        <v>6.0231826177151371</v>
      </c>
      <c r="K67" s="1099">
        <f t="shared" si="9"/>
        <v>6.235609512755202</v>
      </c>
      <c r="L67" s="1099">
        <f t="shared" si="9"/>
        <v>6.4658769222254877</v>
      </c>
      <c r="M67" s="1099">
        <f t="shared" si="9"/>
        <v>6.7128810030598354</v>
      </c>
      <c r="N67" s="1099">
        <f t="shared" si="9"/>
        <v>6.973282639784574</v>
      </c>
      <c r="O67" s="1099">
        <f t="shared" si="9"/>
        <v>7.2408250112835191</v>
      </c>
      <c r="P67" s="1099">
        <f t="shared" si="9"/>
        <v>7.5060654902235866</v>
      </c>
      <c r="Q67" s="1099">
        <f t="shared" si="10"/>
        <v>7.7569711724314079</v>
      </c>
      <c r="R67" s="1099">
        <f t="shared" si="10"/>
        <v>7.9806325612134987</v>
      </c>
      <c r="S67" s="1099">
        <f t="shared" si="10"/>
        <v>8.1657632118718233</v>
      </c>
      <c r="T67" s="1099">
        <f t="shared" si="10"/>
        <v>8.3049877473487719</v>
      </c>
      <c r="U67" s="1099">
        <f t="shared" si="10"/>
        <v>8.3958321237042313</v>
      </c>
      <c r="V67" s="1099">
        <f t="shared" si="10"/>
        <v>8.4400761755563067</v>
      </c>
      <c r="W67" s="1099">
        <f t="shared" si="10"/>
        <v>8.442100958429231</v>
      </c>
    </row>
    <row r="68" spans="6:23" ht="15.75">
      <c r="F68" s="1097">
        <f t="shared" si="8"/>
        <v>9.4000000000000039</v>
      </c>
      <c r="G68" s="1099">
        <f t="shared" si="9"/>
        <v>5.4586761666395924</v>
      </c>
      <c r="H68" s="1099">
        <f t="shared" si="9"/>
        <v>5.6054645261185678</v>
      </c>
      <c r="I68" s="1099">
        <f t="shared" si="9"/>
        <v>5.7630790411296973</v>
      </c>
      <c r="J68" s="1099">
        <f t="shared" si="9"/>
        <v>5.9324997080607718</v>
      </c>
      <c r="K68" s="1099">
        <f t="shared" si="9"/>
        <v>6.1143778615376849</v>
      </c>
      <c r="L68" s="1099">
        <f t="shared" si="9"/>
        <v>6.3087788309684205</v>
      </c>
      <c r="M68" s="1099">
        <f t="shared" si="9"/>
        <v>6.514853133315798</v>
      </c>
      <c r="N68" s="1099">
        <f t="shared" si="9"/>
        <v>6.7304658044792891</v>
      </c>
      <c r="O68" s="1099">
        <f t="shared" si="9"/>
        <v>6.9518615674535278</v>
      </c>
      <c r="P68" s="1099">
        <f t="shared" si="9"/>
        <v>7.1735022499523504</v>
      </c>
      <c r="Q68" s="1099">
        <f t="shared" si="10"/>
        <v>7.388249674038085</v>
      </c>
      <c r="R68" s="1099">
        <f t="shared" si="10"/>
        <v>7.5880238299249854</v>
      </c>
      <c r="S68" s="1099">
        <f t="shared" si="10"/>
        <v>7.7649014314073659</v>
      </c>
      <c r="T68" s="1099">
        <f t="shared" si="10"/>
        <v>7.9123764835879369</v>
      </c>
      <c r="U68" s="1099">
        <f t="shared" si="10"/>
        <v>8.0263409359457558</v>
      </c>
      <c r="V68" s="1099">
        <f t="shared" si="10"/>
        <v>8.1054222382620527</v>
      </c>
      <c r="W68" s="1099">
        <f t="shared" si="10"/>
        <v>8.1506216560006912</v>
      </c>
    </row>
    <row r="73" spans="6:23">
      <c r="W73" s="1124">
        <f>MIN(G52:W68)</f>
        <v>1.9418531534752408</v>
      </c>
    </row>
    <row r="74" spans="6:23">
      <c r="W74" s="1124">
        <f>MAX(G52:W68)</f>
        <v>36.60069604345523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E2:O50"/>
  <sheetViews>
    <sheetView topLeftCell="A9" zoomScale="85" workbookViewId="0">
      <selection activeCell="J45" sqref="J45"/>
    </sheetView>
  </sheetViews>
  <sheetFormatPr defaultRowHeight="12.75"/>
  <cols>
    <col min="1" max="4" width="9.140625" style="91"/>
    <col min="5" max="5" width="12.7109375" style="91" bestFit="1" customWidth="1"/>
    <col min="6" max="6" width="12.140625" style="91" customWidth="1"/>
    <col min="7" max="7" width="16.140625" style="91" customWidth="1"/>
    <col min="8" max="8" width="10" style="91" customWidth="1"/>
    <col min="9" max="9" width="10.5703125" style="91" bestFit="1" customWidth="1"/>
    <col min="10" max="10" width="12.85546875" style="91" bestFit="1" customWidth="1"/>
    <col min="11" max="11" width="13.42578125" style="91" customWidth="1"/>
    <col min="12" max="12" width="9.140625" style="91"/>
    <col min="13" max="13" width="14" style="91" customWidth="1"/>
    <col min="14" max="16384" width="9.140625" style="91"/>
  </cols>
  <sheetData>
    <row r="2" spans="5:14">
      <c r="H2" s="134" t="s">
        <v>518</v>
      </c>
      <c r="I2" s="134" t="s">
        <v>245</v>
      </c>
      <c r="N2" s="134" t="s">
        <v>529</v>
      </c>
    </row>
    <row r="3" spans="5:14">
      <c r="E3" s="133" t="s">
        <v>84</v>
      </c>
      <c r="F3" s="133" t="s">
        <v>96</v>
      </c>
      <c r="G3" s="133" t="s">
        <v>82</v>
      </c>
      <c r="H3" s="133" t="s">
        <v>251</v>
      </c>
      <c r="I3" s="133" t="s">
        <v>251</v>
      </c>
      <c r="J3" s="133" t="s">
        <v>939</v>
      </c>
      <c r="K3" s="133" t="s">
        <v>940</v>
      </c>
    </row>
    <row r="4" spans="5:14" ht="15">
      <c r="H4" s="1099">
        <f>[9]!cp_(11,E16,E17)</f>
        <v>5.1921601486759581</v>
      </c>
      <c r="I4" s="1099">
        <v>20</v>
      </c>
      <c r="J4" s="1103">
        <v>42</v>
      </c>
      <c r="K4" s="1104">
        <f>J4*E18</f>
        <v>81.235867618700468</v>
      </c>
      <c r="L4" s="91">
        <f>E18*22*10^-3*1000</f>
        <v>42.552121133605006</v>
      </c>
      <c r="N4" s="134" t="s">
        <v>240</v>
      </c>
    </row>
    <row r="5" spans="5:14" ht="15.75">
      <c r="E5" s="1096">
        <v>1.2</v>
      </c>
      <c r="F5" s="1097">
        <v>80</v>
      </c>
      <c r="G5" s="1098">
        <f>[9]!Rho_(11,E5,F5)</f>
        <v>0.72057316148549955</v>
      </c>
      <c r="H5" s="1099">
        <f>[9]!cp_(11,E5,F5)</f>
        <v>5.1959431989369786</v>
      </c>
      <c r="I5" s="1099">
        <v>20</v>
      </c>
      <c r="J5" s="1103">
        <v>42</v>
      </c>
      <c r="K5" s="1104">
        <f>J5*G5</f>
        <v>30.264072782390983</v>
      </c>
      <c r="N5" s="134" t="s">
        <v>241</v>
      </c>
    </row>
    <row r="6" spans="5:14" ht="15.75">
      <c r="E6" s="1096">
        <v>1.2</v>
      </c>
      <c r="F6" s="1097">
        <v>4.5</v>
      </c>
      <c r="G6" s="1098">
        <f>[9]!Rho_(11,E6,F6)</f>
        <v>18.957707001634727</v>
      </c>
      <c r="H6" s="1099">
        <f>[9]!cp_(11,E6,F6)</f>
        <v>9.4072330653660305</v>
      </c>
      <c r="I6" s="1099">
        <v>20</v>
      </c>
      <c r="J6" s="1103">
        <v>42</v>
      </c>
      <c r="K6" s="1104">
        <f>J6*G6</f>
        <v>796.22369406865857</v>
      </c>
      <c r="N6" s="134" t="s">
        <v>242</v>
      </c>
    </row>
    <row r="7" spans="5:14" ht="15.75">
      <c r="E7" s="1096">
        <v>1.2</v>
      </c>
      <c r="F7" s="1097">
        <v>4.4000000000000004</v>
      </c>
      <c r="G7" s="1098">
        <f>[9]!Rho_(11,E7,F7)</f>
        <v>121.31168475231041</v>
      </c>
      <c r="H7" s="1099">
        <f>[9]!cp_(11,E7,F7)</f>
        <v>6.0818157196988771</v>
      </c>
      <c r="I7" s="1099">
        <v>20</v>
      </c>
      <c r="J7" s="1103">
        <v>42</v>
      </c>
      <c r="K7" s="1104">
        <f>J7*G7*0.95</f>
        <v>4840.3362216171854</v>
      </c>
      <c r="N7" s="134" t="s">
        <v>316</v>
      </c>
    </row>
    <row r="8" spans="5:14" ht="15.75">
      <c r="E8" s="1096">
        <v>1.2</v>
      </c>
      <c r="F8" s="1097">
        <f>F7+1</f>
        <v>5.4</v>
      </c>
      <c r="G8" s="1098">
        <f>[9]!Rho_(11,E8,F8)</f>
        <v>13.076525891928318</v>
      </c>
      <c r="H8" s="1099">
        <f>[9]!cp_(11,E8,F8)</f>
        <v>6.7355659600862001</v>
      </c>
      <c r="I8" s="1099">
        <v>20</v>
      </c>
      <c r="J8" s="1103">
        <v>42</v>
      </c>
      <c r="K8" s="1104">
        <f>J8*G8</f>
        <v>549.21408746098939</v>
      </c>
    </row>
    <row r="13" spans="5:14">
      <c r="G13" s="1122">
        <f>(E16-J16)/(E18*H17^2)</f>
        <v>166.1335121494194</v>
      </c>
      <c r="K13" s="1122">
        <f>(J16-M16)/(J18*H17^2)</f>
        <v>217.97846673653817</v>
      </c>
    </row>
    <row r="16" spans="5:14" ht="15.75">
      <c r="E16" s="1096">
        <v>12.12</v>
      </c>
      <c r="J16" s="1096">
        <v>4.8899999999999997</v>
      </c>
      <c r="M16" s="1096">
        <v>1.05</v>
      </c>
    </row>
    <row r="17" spans="5:15" ht="15.75">
      <c r="E17" s="1097">
        <v>300</v>
      </c>
      <c r="H17" s="1121">
        <v>0.15</v>
      </c>
      <c r="J17" s="1097">
        <v>300</v>
      </c>
      <c r="M17" s="1097">
        <v>300</v>
      </c>
    </row>
    <row r="18" spans="5:15" ht="15">
      <c r="E18" s="1098">
        <f>[9]!Rho_(11,E16,E17)</f>
        <v>1.9341873242547729</v>
      </c>
      <c r="J18" s="1098">
        <f>[9]!Rho_(11,J16,J17)</f>
        <v>0.78295195494215775</v>
      </c>
      <c r="M18" s="1098">
        <f>[9]!Rho_(11,M16,M17)</f>
        <v>0.16841329620524839</v>
      </c>
    </row>
    <row r="27" spans="5:15" ht="15.75">
      <c r="E27" s="1096">
        <v>13.76</v>
      </c>
      <c r="J27" s="1096">
        <f>E27-$G$13*E29*H28^2</f>
        <v>5.3601982678549227</v>
      </c>
      <c r="M27" s="1096">
        <f>J27-$K$13*J29*H28^2</f>
        <v>1.0504779666908899</v>
      </c>
      <c r="O27" s="168">
        <f>M27-M16</f>
        <v>4.7796669088984167E-4</v>
      </c>
    </row>
    <row r="28" spans="5:15" ht="15.75">
      <c r="E28" s="1097">
        <v>300</v>
      </c>
      <c r="H28" s="1121">
        <v>0.15179614615019094</v>
      </c>
      <c r="J28" s="1097">
        <v>300</v>
      </c>
      <c r="M28" s="1097">
        <v>300</v>
      </c>
    </row>
    <row r="29" spans="5:15" ht="15">
      <c r="E29" s="1098">
        <f>[9]!Rho_(11,E27,E28)</f>
        <v>2.194271171684778</v>
      </c>
      <c r="J29" s="1098">
        <f>[9]!Rho_(11,J27,J28)</f>
        <v>0.8580527761353467</v>
      </c>
      <c r="M29" s="1098">
        <f>[9]!Rho_(11,M27,M28)</f>
        <v>0.16848992225299791</v>
      </c>
    </row>
    <row r="36" spans="5:15" ht="15.75">
      <c r="E36" s="1096">
        <v>13</v>
      </c>
      <c r="J36" s="1096">
        <f>E36-$G$13*E38*H37^2</f>
        <v>5.1424141122404921</v>
      </c>
      <c r="M36" s="1096">
        <f>J36-$K$13*J38*H37^2</f>
        <v>1.0495866736055346</v>
      </c>
      <c r="O36" s="168">
        <f>M36-$M$16</f>
        <v>-4.1332639446545194E-4</v>
      </c>
    </row>
    <row r="37" spans="5:15" ht="15.75">
      <c r="E37" s="1097">
        <v>300</v>
      </c>
      <c r="H37" s="1121">
        <v>0.15101958133739071</v>
      </c>
      <c r="J37" s="1097">
        <v>300</v>
      </c>
      <c r="M37" s="1097">
        <v>300</v>
      </c>
    </row>
    <row r="38" spans="5:15" ht="15">
      <c r="E38" s="1098">
        <f>[9]!Rho_(11,E36,E37)</f>
        <v>2.0737928198991367</v>
      </c>
      <c r="J38" s="1098">
        <f>[9]!Rho_(11,J36,J37)</f>
        <v>0.8232719468560139</v>
      </c>
      <c r="M38" s="1098">
        <f>[9]!Rho_(11,M36,M37)</f>
        <v>0.16834703305024648</v>
      </c>
    </row>
    <row r="44" spans="5:15" ht="15.75">
      <c r="E44" s="1096">
        <v>14</v>
      </c>
      <c r="J44" s="1096">
        <v>10.5</v>
      </c>
      <c r="M44" s="1096">
        <v>1.05</v>
      </c>
      <c r="O44" s="168">
        <f>M44-$M$16</f>
        <v>0</v>
      </c>
    </row>
    <row r="45" spans="5:15" ht="15.75">
      <c r="E45" s="1097">
        <v>300</v>
      </c>
      <c r="H45" s="1121">
        <v>0.15112685512337501</v>
      </c>
      <c r="J45" s="1097">
        <v>300</v>
      </c>
      <c r="M45" s="1097">
        <v>300</v>
      </c>
    </row>
    <row r="46" spans="5:15" ht="15">
      <c r="E46" s="1098">
        <f>[9]!Rho_(11,E44,E45)</f>
        <v>2.2322996432630751</v>
      </c>
      <c r="J46" s="1098">
        <f>[9]!Rho_(11,J44,J45)</f>
        <v>1.6768934015837749</v>
      </c>
      <c r="M46" s="1098">
        <f>[9]!Rho_(11,M44,M45)</f>
        <v>0.16841329620524839</v>
      </c>
    </row>
    <row r="50" spans="5:10">
      <c r="E50" s="1123">
        <f>E44-E36</f>
        <v>1</v>
      </c>
      <c r="J50" s="1123">
        <f>J44-J36</f>
        <v>5.3575858877595079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AD120"/>
  <sheetViews>
    <sheetView tabSelected="1" topLeftCell="A58" zoomScale="70" workbookViewId="0">
      <selection activeCell="I26" sqref="I26"/>
    </sheetView>
  </sheetViews>
  <sheetFormatPr defaultColWidth="11.42578125" defaultRowHeight="12.75"/>
  <cols>
    <col min="1" max="1" width="1.85546875" style="91" customWidth="1"/>
    <col min="2" max="2" width="3" style="91" customWidth="1"/>
    <col min="3" max="6" width="2.85546875" style="91" customWidth="1"/>
    <col min="7" max="7" width="6" style="91" bestFit="1" customWidth="1"/>
    <col min="8" max="8" width="10.5703125" style="91" bestFit="1" customWidth="1"/>
    <col min="9" max="9" width="14.28515625" style="91" bestFit="1" customWidth="1"/>
    <col min="10" max="10" width="14.42578125" style="91" customWidth="1"/>
    <col min="11" max="11" width="23.7109375" style="91" customWidth="1"/>
    <col min="12" max="12" width="16.7109375" style="91" customWidth="1"/>
    <col min="13" max="13" width="14" style="91" customWidth="1"/>
    <col min="14" max="14" width="15.85546875" style="91" customWidth="1"/>
    <col min="15" max="15" width="9.42578125" style="91" bestFit="1" customWidth="1"/>
    <col min="16" max="16" width="17.5703125" style="91" bestFit="1" customWidth="1"/>
    <col min="17" max="17" width="10.85546875" style="91" customWidth="1"/>
    <col min="18" max="18" width="14.42578125" style="91" customWidth="1"/>
    <col min="19" max="19" width="10.28515625" style="91" bestFit="1" customWidth="1"/>
    <col min="20" max="24" width="5" style="91" customWidth="1"/>
    <col min="25" max="25" width="1.85546875" style="91" customWidth="1"/>
    <col min="26" max="30" width="3.85546875" style="91" customWidth="1"/>
    <col min="31" max="16384" width="11.42578125" style="91"/>
  </cols>
  <sheetData>
    <row r="1" spans="1:30" ht="8.25" customHeight="1" thickBot="1"/>
    <row r="2" spans="1:30" ht="18" customHeight="1">
      <c r="A2" s="534"/>
      <c r="B2" s="884"/>
      <c r="C2" s="885"/>
      <c r="D2" s="885"/>
      <c r="E2" s="885"/>
      <c r="F2" s="885"/>
      <c r="G2" s="885"/>
      <c r="H2" s="886"/>
      <c r="I2" s="885"/>
      <c r="J2" s="887" t="s">
        <v>634</v>
      </c>
      <c r="K2" s="888"/>
      <c r="L2" s="889" t="s">
        <v>826</v>
      </c>
      <c r="M2" s="885"/>
      <c r="N2" s="885"/>
      <c r="O2" s="885"/>
      <c r="P2" s="885"/>
      <c r="Q2" s="885"/>
      <c r="R2" s="885"/>
      <c r="S2" s="886"/>
      <c r="T2" s="885"/>
      <c r="U2" s="885"/>
      <c r="V2" s="890" t="s">
        <v>635</v>
      </c>
      <c r="W2" s="885"/>
      <c r="X2" s="891"/>
      <c r="Z2" s="94"/>
      <c r="AA2" s="94"/>
      <c r="AB2" s="94"/>
      <c r="AC2" s="94"/>
      <c r="AD2" s="94"/>
    </row>
    <row r="3" spans="1:30" ht="15.75">
      <c r="A3" s="534"/>
      <c r="B3" s="892"/>
      <c r="C3" s="540"/>
      <c r="D3" s="540"/>
      <c r="E3" s="540"/>
      <c r="F3" s="540"/>
      <c r="G3" s="540"/>
      <c r="H3" s="893"/>
      <c r="I3" s="540"/>
      <c r="J3" s="894" t="s">
        <v>636</v>
      </c>
      <c r="K3" s="540"/>
      <c r="L3" s="895" t="s">
        <v>827</v>
      </c>
      <c r="M3" s="534"/>
      <c r="N3" s="534"/>
      <c r="O3" s="534"/>
      <c r="P3" s="534"/>
      <c r="Q3" s="534"/>
      <c r="R3" s="534"/>
      <c r="S3" s="541"/>
      <c r="T3" s="534"/>
      <c r="U3" s="534"/>
      <c r="V3" s="553" t="s">
        <v>829</v>
      </c>
      <c r="W3" s="534"/>
      <c r="X3" s="896"/>
      <c r="Z3" s="94"/>
      <c r="AA3" s="94"/>
      <c r="AB3" s="94"/>
      <c r="AC3" s="94"/>
      <c r="AD3" s="94"/>
    </row>
    <row r="4" spans="1:30" ht="15">
      <c r="A4" s="534"/>
      <c r="B4" s="897"/>
      <c r="C4" s="898"/>
      <c r="D4" s="898"/>
      <c r="E4" s="898"/>
      <c r="F4" s="898"/>
      <c r="G4" s="898"/>
      <c r="H4" s="546"/>
      <c r="I4" s="898"/>
      <c r="J4" s="898"/>
      <c r="K4" s="898"/>
      <c r="L4" s="898"/>
      <c r="M4" s="898"/>
      <c r="N4" s="898"/>
      <c r="O4" s="898"/>
      <c r="P4" s="898"/>
      <c r="Q4" s="898"/>
      <c r="R4" s="547"/>
      <c r="S4" s="550"/>
      <c r="T4" s="549"/>
      <c r="U4" s="899"/>
      <c r="V4" s="899"/>
      <c r="W4" s="899"/>
      <c r="X4" s="900"/>
      <c r="Z4" s="723"/>
      <c r="AA4" s="723"/>
      <c r="AB4" s="723"/>
      <c r="AC4" s="723"/>
      <c r="AD4" s="723"/>
    </row>
    <row r="5" spans="1:30" ht="15">
      <c r="A5" s="534"/>
      <c r="B5" s="892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34"/>
      <c r="S5" s="541"/>
      <c r="T5" s="901"/>
      <c r="U5" s="901"/>
      <c r="V5" s="902" t="s">
        <v>640</v>
      </c>
      <c r="W5" s="901"/>
      <c r="X5" s="896"/>
      <c r="Z5" s="723"/>
      <c r="AA5" s="723"/>
      <c r="AB5" s="723"/>
      <c r="AC5" s="723"/>
      <c r="AD5" s="723"/>
    </row>
    <row r="6" spans="1:30" ht="15.75">
      <c r="A6" s="534"/>
      <c r="B6" s="892"/>
      <c r="C6" s="540"/>
      <c r="D6" s="540"/>
      <c r="E6" s="540"/>
      <c r="F6" s="534"/>
      <c r="G6" s="540"/>
      <c r="H6" s="534"/>
      <c r="I6" s="540"/>
      <c r="J6" s="534"/>
      <c r="K6" s="903" t="s">
        <v>828</v>
      </c>
      <c r="L6" s="540"/>
      <c r="M6" s="534"/>
      <c r="N6" s="534"/>
      <c r="O6" s="534"/>
      <c r="P6" s="534"/>
      <c r="Q6" s="534"/>
      <c r="R6" s="534"/>
      <c r="S6" s="541"/>
      <c r="T6" s="554"/>
      <c r="U6" s="554"/>
      <c r="V6" s="553" t="s">
        <v>830</v>
      </c>
      <c r="W6" s="554"/>
      <c r="X6" s="896"/>
    </row>
    <row r="7" spans="1:30" ht="12.75" customHeight="1">
      <c r="A7" s="534"/>
      <c r="B7" s="897"/>
      <c r="C7" s="904"/>
      <c r="D7" s="904"/>
      <c r="E7" s="904"/>
      <c r="F7" s="904"/>
      <c r="G7" s="904"/>
      <c r="H7" s="904"/>
      <c r="I7" s="904"/>
      <c r="J7" s="547"/>
      <c r="K7" s="904"/>
      <c r="L7" s="904"/>
      <c r="M7" s="904"/>
      <c r="N7" s="904"/>
      <c r="O7" s="904"/>
      <c r="P7" s="904"/>
      <c r="Q7" s="547"/>
      <c r="R7" s="905"/>
      <c r="S7" s="906"/>
      <c r="T7" s="905"/>
      <c r="U7" s="905"/>
      <c r="V7" s="905"/>
      <c r="W7" s="905"/>
      <c r="X7" s="907"/>
      <c r="Y7" s="735"/>
      <c r="Z7" s="735"/>
      <c r="AA7" s="735"/>
      <c r="AB7" s="735"/>
      <c r="AC7" s="735"/>
      <c r="AD7" s="735"/>
    </row>
    <row r="8" spans="1:30" ht="15.75" thickBot="1">
      <c r="A8" s="534"/>
      <c r="B8" s="908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10"/>
      <c r="R8" s="910"/>
      <c r="S8" s="911"/>
      <c r="T8" s="910"/>
      <c r="U8" s="910"/>
      <c r="V8" s="910"/>
      <c r="W8" s="910"/>
      <c r="X8" s="912"/>
      <c r="Y8" s="735"/>
      <c r="Z8" s="735"/>
      <c r="AA8" s="735"/>
      <c r="AB8" s="735"/>
      <c r="AC8" s="735"/>
      <c r="AD8" s="735"/>
    </row>
    <row r="9" spans="1:30" ht="15">
      <c r="A9" s="534"/>
      <c r="B9" s="884"/>
      <c r="C9" s="885"/>
      <c r="D9" s="885"/>
      <c r="E9" s="885"/>
      <c r="F9" s="885"/>
      <c r="G9" s="885"/>
      <c r="H9" s="885"/>
      <c r="I9" s="885"/>
      <c r="J9" s="885"/>
      <c r="K9" s="885"/>
      <c r="L9" s="885"/>
      <c r="M9" s="885"/>
      <c r="N9" s="885"/>
      <c r="O9" s="885"/>
      <c r="P9" s="885"/>
      <c r="Q9" s="885"/>
      <c r="R9" s="890"/>
      <c r="S9" s="885"/>
      <c r="T9" s="885"/>
      <c r="U9" s="885"/>
      <c r="V9" s="885" t="s">
        <v>642</v>
      </c>
      <c r="W9" s="885"/>
      <c r="X9" s="891"/>
      <c r="Y9" s="724"/>
      <c r="Z9" s="724"/>
      <c r="AA9" s="724"/>
      <c r="AB9" s="724"/>
      <c r="AC9" s="724"/>
      <c r="AD9" s="724"/>
    </row>
    <row r="10" spans="1:30" ht="15">
      <c r="A10" s="534"/>
      <c r="B10" s="892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53"/>
      <c r="S10" s="534"/>
      <c r="T10" s="534"/>
      <c r="U10" s="534"/>
      <c r="V10" s="534"/>
      <c r="W10" s="534"/>
      <c r="X10" s="896"/>
      <c r="Y10" s="724"/>
      <c r="Z10" s="724"/>
      <c r="AA10" s="724"/>
      <c r="AB10" s="724"/>
      <c r="AC10" s="724"/>
      <c r="AD10" s="724"/>
    </row>
    <row r="11" spans="1:30" ht="15.75">
      <c r="A11" s="534"/>
      <c r="B11" s="892"/>
      <c r="C11" s="534"/>
      <c r="D11" s="913" t="s">
        <v>919</v>
      </c>
      <c r="E11" s="913"/>
      <c r="F11" s="913"/>
      <c r="G11" s="913"/>
      <c r="H11" s="913"/>
      <c r="I11" s="913"/>
      <c r="J11" s="913"/>
      <c r="K11" s="913"/>
      <c r="L11" s="913"/>
      <c r="M11" s="913"/>
      <c r="N11" s="913"/>
      <c r="O11" s="913"/>
      <c r="P11" s="913"/>
      <c r="Q11" s="914"/>
      <c r="R11" s="914"/>
      <c r="S11" s="915"/>
      <c r="T11" s="534"/>
      <c r="U11" s="534"/>
      <c r="V11" s="534"/>
      <c r="W11" s="534"/>
      <c r="X11" s="896"/>
      <c r="Y11" s="724"/>
      <c r="Z11" s="724"/>
      <c r="AA11" s="724"/>
      <c r="AB11" s="724"/>
      <c r="AC11" s="724"/>
      <c r="AD11" s="724"/>
    </row>
    <row r="12" spans="1:30" ht="15">
      <c r="A12" s="534"/>
      <c r="B12" s="892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53"/>
      <c r="S12" s="534"/>
      <c r="T12" s="534"/>
      <c r="U12" s="534"/>
      <c r="V12" s="534"/>
      <c r="W12" s="534"/>
      <c r="X12" s="896"/>
      <c r="Y12" s="724"/>
      <c r="Z12" s="724"/>
      <c r="AA12" s="724"/>
      <c r="AB12" s="724"/>
      <c r="AC12" s="724"/>
      <c r="AD12" s="724"/>
    </row>
    <row r="13" spans="1:30" ht="16.5" thickBot="1">
      <c r="A13" s="534"/>
      <c r="B13" s="892"/>
      <c r="C13" s="534"/>
      <c r="D13" s="534"/>
      <c r="E13" s="534"/>
      <c r="F13" s="534"/>
      <c r="G13" s="1084" t="s">
        <v>920</v>
      </c>
      <c r="H13" s="1085"/>
      <c r="I13" s="1085"/>
      <c r="J13" s="1085"/>
      <c r="K13" s="1085"/>
      <c r="L13" s="1085"/>
      <c r="M13" s="1085"/>
      <c r="N13" s="1085"/>
      <c r="O13" s="1085"/>
      <c r="P13" s="1085"/>
      <c r="Q13" s="1085"/>
      <c r="R13" s="1086"/>
      <c r="S13" s="534"/>
      <c r="T13" s="534"/>
      <c r="U13" s="534"/>
      <c r="V13" s="534"/>
      <c r="W13" s="534"/>
      <c r="X13" s="896"/>
      <c r="Y13" s="724"/>
      <c r="Z13" s="724"/>
      <c r="AA13" s="724"/>
      <c r="AB13" s="724"/>
      <c r="AC13" s="724"/>
      <c r="AD13" s="724"/>
    </row>
    <row r="14" spans="1:30" ht="15">
      <c r="A14" s="534"/>
      <c r="B14" s="892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53"/>
      <c r="S14" s="534"/>
      <c r="T14" s="534"/>
      <c r="U14" s="534"/>
      <c r="V14" s="534"/>
      <c r="W14" s="534"/>
      <c r="X14" s="896"/>
      <c r="Y14" s="724"/>
      <c r="Z14" s="724"/>
      <c r="AA14" s="724"/>
      <c r="AB14" s="724"/>
      <c r="AC14" s="724"/>
      <c r="AD14" s="724"/>
    </row>
    <row r="15" spans="1:30" ht="15">
      <c r="A15" s="534"/>
      <c r="B15" s="892"/>
      <c r="C15" s="534"/>
      <c r="D15" s="534"/>
      <c r="E15" s="534"/>
      <c r="F15" s="534"/>
      <c r="G15" s="534"/>
      <c r="H15" s="534"/>
      <c r="I15" s="96" t="s">
        <v>921</v>
      </c>
      <c r="J15" s="1087">
        <v>88629.515599999999</v>
      </c>
      <c r="K15" s="534"/>
      <c r="L15" s="534"/>
      <c r="M15" s="534"/>
      <c r="N15" s="534"/>
      <c r="O15" s="534"/>
      <c r="P15" s="534"/>
      <c r="Q15" s="534"/>
      <c r="R15" s="553"/>
      <c r="S15" s="534"/>
      <c r="T15" s="534"/>
      <c r="U15" s="534"/>
      <c r="V15" s="534"/>
      <c r="W15" s="534"/>
      <c r="X15" s="896"/>
      <c r="Y15" s="724"/>
      <c r="Z15" s="724"/>
      <c r="AA15" s="724"/>
      <c r="AB15" s="724"/>
      <c r="AC15" s="724"/>
      <c r="AD15" s="724"/>
    </row>
    <row r="16" spans="1:30" ht="15">
      <c r="A16" s="534"/>
      <c r="B16" s="892"/>
      <c r="C16" s="534"/>
      <c r="D16" s="534"/>
      <c r="E16" s="534"/>
      <c r="F16" s="534"/>
      <c r="G16" s="534"/>
      <c r="H16" s="534"/>
      <c r="I16" s="96" t="s">
        <v>922</v>
      </c>
      <c r="J16" s="1087">
        <v>25441.515599999999</v>
      </c>
      <c r="K16" s="534"/>
      <c r="L16" s="534"/>
      <c r="M16" s="534"/>
      <c r="N16" s="534"/>
      <c r="O16" s="534"/>
      <c r="P16" s="534"/>
      <c r="Q16" s="534"/>
      <c r="R16" s="553"/>
      <c r="S16" s="534"/>
      <c r="T16" s="534"/>
      <c r="U16" s="534"/>
      <c r="V16" s="534"/>
      <c r="W16" s="534"/>
      <c r="X16" s="896"/>
      <c r="Y16" s="724"/>
      <c r="Z16" s="724"/>
      <c r="AA16" s="724"/>
      <c r="AB16" s="724"/>
      <c r="AC16" s="724"/>
      <c r="AD16" s="724"/>
    </row>
    <row r="17" spans="1:30" ht="15">
      <c r="A17" s="534"/>
      <c r="B17" s="892"/>
      <c r="C17" s="534"/>
      <c r="D17" s="534"/>
      <c r="E17" s="534"/>
      <c r="F17" s="534"/>
      <c r="G17" s="534"/>
      <c r="H17" s="534"/>
      <c r="I17" s="96" t="s">
        <v>923</v>
      </c>
      <c r="J17" s="1087">
        <v>5981.5155999999997</v>
      </c>
      <c r="K17" s="534"/>
      <c r="L17" s="534"/>
      <c r="M17" s="534"/>
      <c r="N17" s="534"/>
      <c r="O17" s="534"/>
      <c r="P17" s="534"/>
      <c r="Q17" s="534"/>
      <c r="R17" s="553"/>
      <c r="S17" s="534"/>
      <c r="T17" s="534"/>
      <c r="U17" s="534"/>
      <c r="V17" s="534"/>
      <c r="W17" s="534"/>
      <c r="X17" s="896"/>
      <c r="Y17" s="724"/>
      <c r="Z17" s="724"/>
      <c r="AA17" s="724"/>
      <c r="AB17" s="724"/>
      <c r="AC17" s="724"/>
      <c r="AD17" s="724"/>
    </row>
    <row r="18" spans="1:30" ht="15">
      <c r="A18" s="534"/>
      <c r="B18" s="892"/>
      <c r="C18" s="534"/>
      <c r="D18" s="534"/>
      <c r="E18" s="534"/>
      <c r="F18" s="534"/>
      <c r="G18" s="534"/>
      <c r="H18" s="534"/>
      <c r="I18" s="96" t="s">
        <v>941</v>
      </c>
      <c r="J18" s="1087">
        <v>322</v>
      </c>
      <c r="K18" s="534"/>
      <c r="L18" s="534"/>
      <c r="M18" s="534"/>
      <c r="N18" s="534"/>
      <c r="O18" s="534"/>
      <c r="P18" s="534"/>
      <c r="Q18" s="534"/>
      <c r="R18" s="553"/>
      <c r="S18" s="534"/>
      <c r="T18" s="534"/>
      <c r="U18" s="534"/>
      <c r="V18" s="534"/>
      <c r="W18" s="534"/>
      <c r="X18" s="896"/>
      <c r="Y18" s="724"/>
      <c r="Z18" s="724"/>
      <c r="AA18" s="724"/>
      <c r="AB18" s="724"/>
      <c r="AC18" s="724"/>
      <c r="AD18" s="724"/>
    </row>
    <row r="19" spans="1:30" ht="15">
      <c r="A19" s="534"/>
      <c r="B19" s="892"/>
      <c r="C19" s="534"/>
      <c r="D19" s="534"/>
      <c r="E19" s="534"/>
      <c r="F19" s="534"/>
      <c r="G19" s="534"/>
      <c r="H19" s="534"/>
      <c r="I19" s="96" t="s">
        <v>924</v>
      </c>
      <c r="J19" s="1087">
        <v>4.1272000000000002</v>
      </c>
      <c r="K19" s="534"/>
      <c r="L19" s="534"/>
      <c r="M19" s="534"/>
      <c r="N19" s="534"/>
      <c r="O19" s="534"/>
      <c r="P19" s="534"/>
      <c r="Q19" s="534"/>
      <c r="R19" s="553"/>
      <c r="S19" s="534"/>
      <c r="T19" s="534"/>
      <c r="U19" s="534"/>
      <c r="V19" s="534"/>
      <c r="W19" s="534"/>
      <c r="X19" s="896"/>
      <c r="Y19" s="724"/>
      <c r="Z19" s="724"/>
      <c r="AA19" s="724"/>
      <c r="AB19" s="724"/>
      <c r="AC19" s="724"/>
      <c r="AD19" s="724"/>
    </row>
    <row r="20" spans="1:30" ht="15">
      <c r="A20" s="534"/>
      <c r="B20" s="892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553"/>
      <c r="S20" s="534"/>
      <c r="T20" s="534"/>
      <c r="U20" s="534"/>
      <c r="V20" s="534"/>
      <c r="W20" s="534"/>
      <c r="X20" s="896"/>
      <c r="Y20" s="724"/>
      <c r="Z20" s="724"/>
      <c r="AA20" s="724"/>
      <c r="AB20" s="724"/>
      <c r="AC20" s="724"/>
      <c r="AD20" s="724"/>
    </row>
    <row r="21" spans="1:30" ht="17.25" customHeight="1" thickBot="1">
      <c r="A21" s="534"/>
      <c r="B21" s="892"/>
      <c r="C21" s="534"/>
      <c r="D21" s="534"/>
      <c r="E21" s="534"/>
      <c r="F21" s="534"/>
      <c r="G21" s="1084" t="s">
        <v>21</v>
      </c>
      <c r="H21" s="1085"/>
      <c r="I21" s="1085"/>
      <c r="J21" s="1085"/>
      <c r="K21" s="1085"/>
      <c r="L21" s="1085"/>
      <c r="M21" s="1085"/>
      <c r="N21" s="1085"/>
      <c r="O21" s="1085"/>
      <c r="P21" s="1085"/>
      <c r="Q21" s="1085"/>
      <c r="R21" s="1086"/>
      <c r="S21" s="534"/>
      <c r="T21" s="534"/>
      <c r="U21" s="534"/>
      <c r="V21" s="534"/>
      <c r="W21" s="534"/>
      <c r="X21" s="896"/>
      <c r="Y21" s="724"/>
      <c r="Z21" s="724"/>
      <c r="AA21" s="724"/>
      <c r="AB21" s="724"/>
      <c r="AC21" s="724"/>
      <c r="AD21" s="724"/>
    </row>
    <row r="22" spans="1:30" ht="12.75" customHeight="1">
      <c r="A22" s="534"/>
      <c r="B22" s="892"/>
      <c r="C22" s="534"/>
      <c r="D22" s="534"/>
      <c r="E22" s="534"/>
      <c r="F22" s="534"/>
      <c r="G22" s="1088"/>
      <c r="H22" s="1089"/>
      <c r="I22" s="1089"/>
      <c r="J22" s="1089"/>
      <c r="K22" s="1089"/>
      <c r="L22" s="1089"/>
      <c r="M22" s="1089"/>
      <c r="N22" s="1089"/>
      <c r="O22" s="1089"/>
      <c r="P22" s="1089"/>
      <c r="Q22" s="1089"/>
      <c r="R22" s="1090"/>
      <c r="S22" s="534"/>
      <c r="T22" s="534"/>
      <c r="U22" s="534"/>
      <c r="V22" s="534"/>
      <c r="W22" s="534"/>
      <c r="X22" s="896"/>
      <c r="Y22" s="724"/>
      <c r="Z22" s="724"/>
      <c r="AA22" s="724"/>
      <c r="AB22" s="724"/>
      <c r="AC22" s="724"/>
      <c r="AD22" s="724"/>
    </row>
    <row r="23" spans="1:30" ht="15">
      <c r="A23" s="534"/>
      <c r="B23" s="892"/>
      <c r="C23" s="534"/>
      <c r="D23" s="534"/>
      <c r="E23" s="534"/>
      <c r="F23" s="534"/>
      <c r="I23" s="134" t="s">
        <v>240</v>
      </c>
      <c r="J23" s="134" t="s">
        <v>241</v>
      </c>
      <c r="K23" s="134" t="s">
        <v>242</v>
      </c>
      <c r="L23" s="134" t="s">
        <v>518</v>
      </c>
      <c r="M23" s="134" t="s">
        <v>245</v>
      </c>
      <c r="N23" s="1089"/>
      <c r="O23" s="534"/>
      <c r="P23" s="534"/>
      <c r="Q23" s="534"/>
      <c r="R23" s="553"/>
      <c r="S23" s="534"/>
      <c r="T23" s="534"/>
      <c r="U23" s="534"/>
      <c r="V23" s="534"/>
      <c r="W23" s="534"/>
      <c r="X23" s="896"/>
      <c r="Y23" s="724"/>
      <c r="Z23" s="724"/>
      <c r="AA23" s="724"/>
      <c r="AB23" s="724"/>
      <c r="AC23" s="724"/>
      <c r="AD23" s="724"/>
    </row>
    <row r="24" spans="1:30" ht="15">
      <c r="A24" s="534"/>
      <c r="B24" s="892"/>
      <c r="C24" s="534"/>
      <c r="D24" s="534"/>
      <c r="E24" s="534"/>
      <c r="F24" s="534"/>
      <c r="I24" s="133" t="s">
        <v>84</v>
      </c>
      <c r="J24" s="133" t="s">
        <v>96</v>
      </c>
      <c r="K24" s="133" t="s">
        <v>82</v>
      </c>
      <c r="L24" s="133" t="s">
        <v>251</v>
      </c>
      <c r="M24" s="133" t="s">
        <v>251</v>
      </c>
      <c r="N24" s="1089"/>
      <c r="O24" s="534"/>
      <c r="P24" s="534"/>
      <c r="Q24" s="534"/>
      <c r="R24" s="553"/>
      <c r="S24" s="534"/>
      <c r="T24" s="534"/>
      <c r="U24" s="534"/>
      <c r="V24" s="534"/>
      <c r="W24" s="534"/>
      <c r="X24" s="896"/>
      <c r="Y24" s="724"/>
      <c r="Z24" s="724"/>
      <c r="AA24" s="724"/>
      <c r="AB24" s="724"/>
      <c r="AC24" s="724"/>
      <c r="AD24" s="724"/>
    </row>
    <row r="25" spans="1:30" ht="15.75">
      <c r="A25" s="534"/>
      <c r="B25" s="892"/>
      <c r="C25" s="534"/>
      <c r="D25" s="534"/>
      <c r="E25" s="534"/>
      <c r="F25" s="534"/>
      <c r="I25" s="1096">
        <v>4.7</v>
      </c>
      <c r="J25" s="1097">
        <v>300</v>
      </c>
      <c r="K25" s="1098">
        <f>[9]!Rho_(11,I25,J25)</f>
        <v>0.7525957095176351</v>
      </c>
      <c r="L25" s="1099">
        <f>[9]!cp_(11,I25,J25)</f>
        <v>5.1927064218653873</v>
      </c>
      <c r="M25" s="1099">
        <v>20</v>
      </c>
      <c r="N25" s="1089"/>
      <c r="O25" s="534"/>
      <c r="P25" s="534"/>
      <c r="Q25" s="534"/>
      <c r="R25" s="553"/>
      <c r="S25" s="534"/>
      <c r="T25" s="534"/>
      <c r="U25" s="534"/>
      <c r="V25" s="534"/>
      <c r="W25" s="534"/>
      <c r="X25" s="896"/>
      <c r="Y25" s="724"/>
      <c r="Z25" s="724"/>
      <c r="AA25" s="724"/>
      <c r="AB25" s="724"/>
      <c r="AC25" s="724"/>
      <c r="AD25" s="724"/>
    </row>
    <row r="26" spans="1:30" ht="15.75">
      <c r="A26" s="534"/>
      <c r="B26" s="892"/>
      <c r="C26" s="534"/>
      <c r="D26" s="534"/>
      <c r="E26" s="534"/>
      <c r="F26" s="534"/>
      <c r="H26" s="534"/>
      <c r="I26" s="1096">
        <v>1</v>
      </c>
      <c r="J26" s="1097">
        <v>300</v>
      </c>
      <c r="K26" s="1098">
        <f>[9]!Rho_(11,I26,J26)</f>
        <v>0.16039727596098927</v>
      </c>
      <c r="L26" s="1099">
        <f>[9]!cp_(11,I26,J26)</f>
        <v>5.1929857654911205</v>
      </c>
      <c r="M26" s="1099">
        <v>20</v>
      </c>
      <c r="N26" s="534"/>
      <c r="O26" s="534"/>
      <c r="P26" s="534"/>
      <c r="Q26" s="534"/>
      <c r="R26" s="553"/>
      <c r="S26" s="534"/>
      <c r="T26" s="534"/>
      <c r="U26" s="534"/>
      <c r="V26" s="534"/>
      <c r="W26" s="534"/>
      <c r="X26" s="896"/>
      <c r="Y26" s="724"/>
      <c r="Z26" s="724"/>
      <c r="AA26" s="724"/>
      <c r="AB26" s="724"/>
      <c r="AC26" s="724"/>
      <c r="AD26" s="724"/>
    </row>
    <row r="27" spans="1:30" ht="15.75">
      <c r="A27" s="534"/>
      <c r="B27" s="892"/>
      <c r="C27" s="534"/>
      <c r="D27" s="534"/>
      <c r="E27" s="913" t="s">
        <v>932</v>
      </c>
      <c r="F27" s="913"/>
      <c r="G27" s="913"/>
      <c r="H27" s="913"/>
      <c r="I27" s="913"/>
      <c r="J27" s="913"/>
      <c r="K27" s="913"/>
      <c r="L27" s="913"/>
      <c r="M27" s="913"/>
      <c r="N27" s="913"/>
      <c r="O27" s="913"/>
      <c r="P27" s="913"/>
      <c r="Q27" s="913"/>
      <c r="R27" s="914"/>
      <c r="S27" s="914"/>
      <c r="T27" s="915"/>
      <c r="U27" s="534"/>
      <c r="V27" s="534"/>
      <c r="W27" s="534"/>
      <c r="X27" s="896"/>
      <c r="Y27" s="724"/>
      <c r="Z27" s="724"/>
      <c r="AA27" s="724"/>
      <c r="AB27" s="724"/>
      <c r="AC27" s="724"/>
      <c r="AD27" s="724"/>
    </row>
    <row r="28" spans="1:30" ht="15">
      <c r="A28" s="534"/>
      <c r="B28" s="892"/>
      <c r="C28" s="534"/>
      <c r="D28" s="534"/>
      <c r="E28" s="534"/>
      <c r="F28" s="534"/>
      <c r="G28" s="534"/>
      <c r="M28" s="534"/>
      <c r="N28" s="534"/>
      <c r="O28" s="534"/>
      <c r="P28" s="534"/>
      <c r="Q28" s="534"/>
      <c r="R28" s="553"/>
      <c r="S28" s="534"/>
      <c r="T28" s="534"/>
      <c r="U28" s="534"/>
      <c r="V28" s="534"/>
      <c r="W28" s="534"/>
      <c r="X28" s="896"/>
      <c r="Y28" s="724"/>
      <c r="Z28" s="724"/>
      <c r="AA28" s="724"/>
      <c r="AB28" s="724"/>
      <c r="AC28" s="724"/>
      <c r="AD28" s="724"/>
    </row>
    <row r="29" spans="1:30" ht="15">
      <c r="A29" s="534"/>
      <c r="B29" s="892"/>
      <c r="C29" s="534"/>
      <c r="D29" s="534"/>
      <c r="E29" s="534"/>
      <c r="F29" s="534"/>
      <c r="G29" s="534"/>
      <c r="I29" s="182"/>
      <c r="J29" s="1091" t="s">
        <v>388</v>
      </c>
      <c r="L29" s="92" t="s">
        <v>21</v>
      </c>
      <c r="M29" s="534"/>
      <c r="N29" s="534"/>
      <c r="O29" s="534"/>
      <c r="P29" s="534"/>
      <c r="Q29" s="534"/>
      <c r="R29" s="553"/>
      <c r="S29" s="534"/>
      <c r="T29" s="534"/>
      <c r="U29" s="534"/>
      <c r="V29" s="534"/>
      <c r="W29" s="534"/>
      <c r="X29" s="896"/>
      <c r="Y29" s="724"/>
      <c r="Z29" s="724"/>
      <c r="AA29" s="724"/>
      <c r="AB29" s="724"/>
      <c r="AC29" s="724"/>
      <c r="AD29" s="724"/>
    </row>
    <row r="30" spans="1:30" ht="15">
      <c r="A30" s="534"/>
      <c r="B30" s="892"/>
      <c r="C30" s="534"/>
      <c r="D30" s="534"/>
      <c r="E30" s="534"/>
      <c r="F30" s="534"/>
      <c r="G30" s="534"/>
      <c r="I30" s="796" t="s">
        <v>925</v>
      </c>
      <c r="J30" s="1092">
        <v>60.3</v>
      </c>
      <c r="M30" s="534"/>
      <c r="N30" s="534"/>
      <c r="O30" s="534"/>
      <c r="P30" s="534"/>
      <c r="Q30" s="534"/>
      <c r="R30" s="553"/>
      <c r="S30" s="534"/>
      <c r="T30" s="534"/>
      <c r="U30" s="534"/>
      <c r="V30" s="534"/>
      <c r="W30" s="534"/>
      <c r="X30" s="896"/>
      <c r="Y30" s="724"/>
      <c r="Z30" s="724"/>
      <c r="AA30" s="724"/>
      <c r="AB30" s="724"/>
      <c r="AC30" s="724"/>
      <c r="AD30" s="724"/>
    </row>
    <row r="31" spans="1:30" ht="15">
      <c r="A31" s="534"/>
      <c r="B31" s="892"/>
      <c r="C31" s="534"/>
      <c r="D31" s="534"/>
      <c r="E31" s="534"/>
      <c r="F31" s="534"/>
      <c r="G31" s="534"/>
      <c r="I31" s="796" t="s">
        <v>926</v>
      </c>
      <c r="J31" s="1092">
        <v>1.65</v>
      </c>
      <c r="M31" s="534"/>
      <c r="N31" s="534"/>
      <c r="O31" s="534"/>
      <c r="P31" s="534"/>
      <c r="Q31" s="534"/>
      <c r="R31" s="553"/>
      <c r="S31" s="534"/>
      <c r="T31" s="534"/>
      <c r="U31" s="534"/>
      <c r="V31" s="534"/>
      <c r="W31" s="534"/>
      <c r="X31" s="896"/>
      <c r="Y31" s="724"/>
      <c r="Z31" s="724"/>
      <c r="AA31" s="724"/>
      <c r="AB31" s="724"/>
      <c r="AC31" s="724"/>
      <c r="AD31" s="724"/>
    </row>
    <row r="32" spans="1:30" ht="15">
      <c r="A32" s="534"/>
      <c r="B32" s="892"/>
      <c r="C32" s="534"/>
      <c r="D32" s="534"/>
      <c r="E32" s="534"/>
      <c r="F32" s="534"/>
      <c r="G32" s="534"/>
      <c r="I32" s="796" t="s">
        <v>854</v>
      </c>
      <c r="J32" s="1093">
        <v>10</v>
      </c>
      <c r="M32" s="534"/>
      <c r="N32" s="534"/>
      <c r="O32" s="534"/>
      <c r="P32" s="534"/>
      <c r="Q32" s="534"/>
      <c r="R32" s="553"/>
      <c r="S32" s="534"/>
      <c r="T32" s="534"/>
      <c r="U32" s="534"/>
      <c r="V32" s="534"/>
      <c r="W32" s="534"/>
      <c r="X32" s="896"/>
      <c r="Y32" s="724"/>
      <c r="Z32" s="724"/>
      <c r="AA32" s="724"/>
      <c r="AB32" s="724"/>
      <c r="AC32" s="724"/>
      <c r="AD32" s="724"/>
    </row>
    <row r="33" spans="1:30" ht="15">
      <c r="A33" s="534"/>
      <c r="B33" s="892"/>
      <c r="C33" s="534"/>
      <c r="D33" s="534"/>
      <c r="E33" s="534"/>
      <c r="F33" s="534"/>
      <c r="G33" s="534"/>
      <c r="I33" s="796" t="s">
        <v>927</v>
      </c>
      <c r="J33" s="975">
        <v>7900</v>
      </c>
      <c r="M33" s="534"/>
      <c r="N33" s="534"/>
      <c r="O33" s="534"/>
      <c r="P33" s="534"/>
      <c r="Q33" s="534"/>
      <c r="R33" s="553"/>
      <c r="S33" s="534"/>
      <c r="T33" s="534"/>
      <c r="U33" s="534"/>
      <c r="V33" s="534"/>
      <c r="W33" s="534"/>
      <c r="X33" s="896"/>
      <c r="Y33" s="724"/>
      <c r="Z33" s="724"/>
      <c r="AA33" s="724"/>
      <c r="AB33" s="724"/>
      <c r="AC33" s="724"/>
      <c r="AD33" s="724"/>
    </row>
    <row r="34" spans="1:30" ht="15">
      <c r="A34" s="534"/>
      <c r="B34" s="892"/>
      <c r="C34" s="534"/>
      <c r="D34" s="534"/>
      <c r="E34" s="534"/>
      <c r="F34" s="534"/>
      <c r="I34" s="796" t="s">
        <v>928</v>
      </c>
      <c r="J34" s="1094">
        <f>((J30/2000)^2*PI()-((J30-J31*2)/2000)^2*PI())*J32*J33</f>
        <v>24.017562230491929</v>
      </c>
      <c r="M34" s="534"/>
      <c r="N34" s="534"/>
      <c r="O34" s="534"/>
      <c r="P34" s="534"/>
      <c r="Q34" s="534"/>
      <c r="R34" s="553"/>
      <c r="S34" s="534"/>
      <c r="T34" s="534"/>
      <c r="U34" s="534"/>
      <c r="V34" s="534"/>
      <c r="W34" s="534"/>
      <c r="X34" s="896"/>
      <c r="Y34" s="724"/>
      <c r="Z34" s="724"/>
      <c r="AA34" s="724"/>
      <c r="AB34" s="724"/>
      <c r="AC34" s="724"/>
      <c r="AD34" s="724"/>
    </row>
    <row r="35" spans="1:30" ht="15">
      <c r="A35" s="534"/>
      <c r="B35" s="892"/>
      <c r="C35" s="534"/>
      <c r="D35" s="534"/>
      <c r="E35" s="534"/>
      <c r="F35" s="534"/>
      <c r="I35" s="796" t="s">
        <v>929</v>
      </c>
      <c r="J35" s="1095">
        <f>J34*($J$15-$J$19)/1000</f>
        <v>2128.5657810985176</v>
      </c>
      <c r="M35" s="534"/>
      <c r="N35" s="534"/>
      <c r="O35" s="534"/>
      <c r="P35" s="534"/>
      <c r="Q35" s="534"/>
      <c r="R35" s="553"/>
      <c r="S35" s="534"/>
      <c r="T35" s="534"/>
      <c r="U35" s="534"/>
      <c r="V35" s="534"/>
      <c r="W35" s="534"/>
      <c r="X35" s="896"/>
      <c r="Y35" s="724"/>
      <c r="Z35" s="724"/>
      <c r="AA35" s="724"/>
      <c r="AB35" s="724"/>
      <c r="AC35" s="724"/>
      <c r="AD35" s="724"/>
    </row>
    <row r="36" spans="1:30" ht="15">
      <c r="A36" s="534"/>
      <c r="B36" s="892"/>
      <c r="C36" s="534"/>
      <c r="D36" s="534"/>
      <c r="E36" s="534"/>
      <c r="F36" s="534"/>
      <c r="I36" s="796" t="s">
        <v>942</v>
      </c>
      <c r="J36" s="1095">
        <f>J34*($J$15-$J$18)/1000</f>
        <v>2120.9312513431369</v>
      </c>
      <c r="M36" s="534"/>
      <c r="N36" s="534"/>
      <c r="O36" s="534"/>
      <c r="P36" s="534"/>
      <c r="Q36" s="534"/>
      <c r="R36" s="553"/>
      <c r="S36" s="534"/>
      <c r="T36" s="534"/>
      <c r="U36" s="534"/>
      <c r="V36" s="534"/>
      <c r="W36" s="534"/>
      <c r="X36" s="896"/>
      <c r="Y36" s="724"/>
      <c r="Z36" s="724"/>
      <c r="AA36" s="724"/>
      <c r="AB36" s="724"/>
      <c r="AC36" s="724"/>
      <c r="AD36" s="724"/>
    </row>
    <row r="37" spans="1:30" ht="15">
      <c r="A37" s="534"/>
      <c r="B37" s="892"/>
      <c r="C37" s="534"/>
      <c r="D37" s="534"/>
      <c r="E37" s="534"/>
      <c r="F37" s="534"/>
      <c r="I37" s="796" t="s">
        <v>930</v>
      </c>
      <c r="J37" s="1095">
        <f>$J$34*($J$15-$J$17)/1000</f>
        <v>1985.003483225697</v>
      </c>
      <c r="M37" s="534"/>
      <c r="N37" s="534"/>
      <c r="O37" s="534"/>
      <c r="P37" s="534"/>
      <c r="Q37" s="534"/>
      <c r="R37" s="553"/>
      <c r="S37" s="534"/>
      <c r="T37" s="534"/>
      <c r="U37" s="534"/>
      <c r="V37" s="534"/>
      <c r="W37" s="534"/>
      <c r="X37" s="896"/>
      <c r="Y37" s="724"/>
      <c r="Z37" s="724"/>
      <c r="AA37" s="724"/>
      <c r="AB37" s="724"/>
      <c r="AC37" s="724"/>
      <c r="AD37" s="724"/>
    </row>
    <row r="38" spans="1:30" ht="15">
      <c r="A38" s="534"/>
      <c r="B38" s="892"/>
      <c r="C38" s="534"/>
      <c r="D38" s="534"/>
      <c r="E38" s="534"/>
      <c r="F38" s="534"/>
      <c r="I38" s="796" t="s">
        <v>931</v>
      </c>
      <c r="J38" s="1095">
        <f>$J$34*($J$15-$J$16)/1000</f>
        <v>1517.621722220324</v>
      </c>
      <c r="M38" s="534"/>
      <c r="N38" s="534"/>
      <c r="O38" s="534"/>
      <c r="P38" s="534"/>
      <c r="Q38" s="534"/>
      <c r="R38" s="553"/>
      <c r="S38" s="534"/>
      <c r="T38" s="534"/>
      <c r="U38" s="534"/>
      <c r="V38" s="534"/>
      <c r="W38" s="534"/>
      <c r="X38" s="896"/>
      <c r="Y38" s="724"/>
      <c r="Z38" s="724"/>
      <c r="AA38" s="724"/>
      <c r="AB38" s="724"/>
      <c r="AC38" s="724"/>
      <c r="AD38" s="724"/>
    </row>
    <row r="39" spans="1:30" ht="15">
      <c r="A39" s="534"/>
      <c r="B39" s="892"/>
      <c r="C39" s="534"/>
      <c r="D39" s="534"/>
      <c r="E39" s="534"/>
      <c r="F39" s="534"/>
      <c r="G39" s="534"/>
      <c r="M39" s="534"/>
      <c r="N39" s="534"/>
      <c r="O39" s="534"/>
      <c r="P39" s="534"/>
      <c r="Q39" s="534"/>
      <c r="R39" s="553"/>
      <c r="S39" s="534"/>
      <c r="T39" s="534"/>
      <c r="U39" s="534"/>
      <c r="V39" s="534"/>
      <c r="W39" s="534"/>
      <c r="X39" s="896"/>
      <c r="Y39" s="724"/>
      <c r="Z39" s="724"/>
      <c r="AA39" s="724"/>
      <c r="AB39" s="724"/>
      <c r="AC39" s="724"/>
      <c r="AD39" s="724"/>
    </row>
    <row r="40" spans="1:30" ht="16.5" thickBot="1">
      <c r="A40" s="534"/>
      <c r="B40" s="892"/>
      <c r="C40" s="534"/>
      <c r="D40" s="534"/>
      <c r="E40" s="534"/>
      <c r="F40" s="534"/>
      <c r="G40" s="1084" t="s">
        <v>933</v>
      </c>
      <c r="H40" s="1084"/>
      <c r="I40" s="1084"/>
      <c r="J40" s="1084"/>
      <c r="K40" s="1084"/>
      <c r="L40" s="1084"/>
      <c r="M40" s="534"/>
      <c r="N40" s="1084" t="s">
        <v>934</v>
      </c>
      <c r="O40" s="1084"/>
      <c r="P40" s="1084"/>
      <c r="Q40" s="1084"/>
      <c r="R40" s="1084"/>
      <c r="S40" s="1084"/>
      <c r="T40" s="534"/>
      <c r="U40" s="534"/>
      <c r="V40" s="534"/>
      <c r="W40" s="534"/>
      <c r="X40" s="896"/>
      <c r="Y40" s="724"/>
      <c r="Z40" s="724"/>
      <c r="AA40" s="724"/>
      <c r="AB40" s="724"/>
      <c r="AC40" s="724"/>
      <c r="AD40" s="724"/>
    </row>
    <row r="41" spans="1:30" ht="15">
      <c r="A41" s="534"/>
      <c r="B41" s="892"/>
      <c r="C41" s="534"/>
      <c r="D41" s="534"/>
      <c r="E41" s="534"/>
      <c r="F41" s="534"/>
      <c r="G41" s="534"/>
      <c r="M41" s="534"/>
      <c r="N41" s="534"/>
      <c r="O41" s="534"/>
      <c r="P41" s="534"/>
      <c r="Q41" s="534"/>
      <c r="R41" s="553"/>
      <c r="S41" s="534"/>
      <c r="T41" s="534"/>
      <c r="U41" s="534"/>
      <c r="V41" s="534"/>
      <c r="W41" s="534"/>
      <c r="X41" s="896"/>
      <c r="Y41" s="724"/>
      <c r="Z41" s="724"/>
      <c r="AA41" s="724"/>
      <c r="AB41" s="724"/>
      <c r="AC41" s="724"/>
      <c r="AD41" s="724"/>
    </row>
    <row r="42" spans="1:30" ht="13.5" customHeight="1">
      <c r="A42" s="534"/>
      <c r="B42" s="892"/>
      <c r="C42" s="534"/>
      <c r="D42" s="534"/>
      <c r="E42" s="534"/>
      <c r="F42" s="534"/>
      <c r="G42" s="534"/>
      <c r="M42" s="534"/>
      <c r="N42" s="534"/>
      <c r="O42" s="534"/>
      <c r="P42" s="534"/>
      <c r="Q42" s="534"/>
      <c r="R42" s="553"/>
      <c r="S42" s="534"/>
      <c r="T42" s="534"/>
      <c r="U42" s="534"/>
      <c r="V42" s="534"/>
      <c r="W42" s="534"/>
      <c r="X42" s="896"/>
      <c r="Y42" s="724"/>
      <c r="Z42" s="724"/>
      <c r="AA42" s="724"/>
      <c r="AB42" s="724"/>
      <c r="AC42" s="724"/>
      <c r="AD42" s="724"/>
    </row>
    <row r="43" spans="1:30" ht="15">
      <c r="A43" s="534"/>
      <c r="B43" s="892"/>
      <c r="C43" s="534"/>
      <c r="D43" s="534"/>
      <c r="E43" s="534"/>
      <c r="F43" s="534"/>
      <c r="G43" s="534"/>
      <c r="M43" s="534"/>
      <c r="N43" s="534"/>
      <c r="O43" s="534"/>
      <c r="P43" s="534"/>
      <c r="Q43" s="534"/>
      <c r="R43" s="553"/>
      <c r="S43" s="534"/>
      <c r="T43" s="534"/>
      <c r="U43" s="534"/>
      <c r="V43" s="534"/>
      <c r="W43" s="534"/>
      <c r="X43" s="896"/>
      <c r="Y43" s="724"/>
      <c r="Z43" s="724"/>
      <c r="AA43" s="724"/>
      <c r="AB43" s="724"/>
      <c r="AC43" s="724"/>
      <c r="AD43" s="724"/>
    </row>
    <row r="44" spans="1:30" ht="15">
      <c r="A44" s="534"/>
      <c r="B44" s="892"/>
      <c r="C44" s="534"/>
      <c r="D44" s="534"/>
      <c r="E44" s="534"/>
      <c r="F44" s="534"/>
      <c r="G44" s="534"/>
      <c r="M44" s="534"/>
      <c r="N44" s="534"/>
      <c r="O44" s="534"/>
      <c r="P44" s="534"/>
      <c r="Q44" s="534"/>
      <c r="R44" s="553"/>
      <c r="S44" s="534"/>
      <c r="T44" s="534"/>
      <c r="U44" s="534"/>
      <c r="V44" s="534"/>
      <c r="W44" s="534"/>
      <c r="X44" s="896"/>
      <c r="Y44" s="724"/>
      <c r="Z44" s="724"/>
      <c r="AA44" s="724"/>
      <c r="AB44" s="724"/>
      <c r="AC44" s="724"/>
      <c r="AD44" s="724"/>
    </row>
    <row r="45" spans="1:30" ht="15">
      <c r="A45" s="534"/>
      <c r="B45" s="892"/>
      <c r="C45" s="534"/>
      <c r="D45" s="534"/>
      <c r="E45" s="534"/>
      <c r="F45" s="534"/>
      <c r="G45" s="534"/>
      <c r="M45" s="534"/>
      <c r="N45" s="534"/>
      <c r="O45" s="534"/>
      <c r="P45" s="534"/>
      <c r="Q45" s="534"/>
      <c r="R45" s="553"/>
      <c r="S45" s="534"/>
      <c r="T45" s="534"/>
      <c r="U45" s="534"/>
      <c r="V45" s="534"/>
      <c r="W45" s="534"/>
      <c r="X45" s="896"/>
      <c r="Y45" s="724"/>
      <c r="Z45" s="724"/>
      <c r="AA45" s="724"/>
      <c r="AB45" s="724"/>
      <c r="AC45" s="724"/>
      <c r="AD45" s="724"/>
    </row>
    <row r="46" spans="1:30" ht="15">
      <c r="A46" s="534"/>
      <c r="B46" s="892"/>
      <c r="C46" s="534"/>
      <c r="D46" s="534"/>
      <c r="E46" s="534"/>
      <c r="F46" s="534"/>
      <c r="G46" s="534"/>
      <c r="M46" s="534"/>
      <c r="N46" s="534"/>
      <c r="O46" s="534"/>
      <c r="P46" s="534"/>
      <c r="Q46" s="534"/>
      <c r="R46" s="553"/>
      <c r="S46" s="534"/>
      <c r="T46" s="534"/>
      <c r="U46" s="534"/>
      <c r="V46" s="534"/>
      <c r="W46" s="534"/>
      <c r="X46" s="896"/>
      <c r="Y46" s="724"/>
      <c r="Z46" s="724"/>
      <c r="AA46" s="724"/>
      <c r="AB46" s="724"/>
      <c r="AC46" s="724"/>
      <c r="AD46" s="724"/>
    </row>
    <row r="47" spans="1:30" ht="15">
      <c r="A47" s="534"/>
      <c r="B47" s="892"/>
      <c r="C47" s="534"/>
      <c r="D47" s="534"/>
      <c r="E47" s="534"/>
      <c r="F47" s="534"/>
      <c r="G47" s="534"/>
      <c r="M47" s="534"/>
      <c r="N47" s="534"/>
      <c r="O47" s="534"/>
      <c r="P47" s="534"/>
      <c r="Q47" s="534"/>
      <c r="R47" s="553"/>
      <c r="S47" s="534"/>
      <c r="T47" s="534"/>
      <c r="U47" s="534"/>
      <c r="V47" s="534"/>
      <c r="W47" s="534"/>
      <c r="X47" s="896"/>
      <c r="Y47" s="724"/>
      <c r="Z47" s="724"/>
      <c r="AA47" s="724"/>
      <c r="AB47" s="724"/>
      <c r="AC47" s="724"/>
      <c r="AD47" s="724"/>
    </row>
    <row r="48" spans="1:30" ht="15">
      <c r="A48" s="534"/>
      <c r="B48" s="892"/>
      <c r="C48" s="534"/>
      <c r="D48" s="534"/>
      <c r="E48" s="534"/>
      <c r="F48" s="534"/>
      <c r="G48" s="534"/>
      <c r="M48" s="534"/>
      <c r="N48" s="534"/>
      <c r="O48" s="534"/>
      <c r="P48" s="534"/>
      <c r="Q48" s="534"/>
      <c r="R48" s="553"/>
      <c r="S48" s="534"/>
      <c r="T48" s="534"/>
      <c r="U48" s="534"/>
      <c r="V48" s="534"/>
      <c r="W48" s="534"/>
      <c r="X48" s="896"/>
      <c r="Y48" s="724"/>
      <c r="Z48" s="724"/>
      <c r="AA48" s="724"/>
      <c r="AB48" s="724"/>
      <c r="AC48" s="724"/>
      <c r="AD48" s="724"/>
    </row>
    <row r="49" spans="1:30" ht="15">
      <c r="A49" s="534"/>
      <c r="B49" s="892"/>
      <c r="C49" s="534"/>
      <c r="D49" s="534"/>
      <c r="E49" s="534"/>
      <c r="F49" s="534"/>
      <c r="G49" s="534"/>
      <c r="M49" s="534"/>
      <c r="N49" s="534"/>
      <c r="O49" s="534"/>
      <c r="P49" s="534"/>
      <c r="Q49" s="534"/>
      <c r="R49" s="553"/>
      <c r="S49" s="534"/>
      <c r="T49" s="534"/>
      <c r="U49" s="534"/>
      <c r="V49" s="534"/>
      <c r="W49" s="534"/>
      <c r="X49" s="896"/>
      <c r="Y49" s="724"/>
      <c r="Z49" s="724"/>
      <c r="AA49" s="724"/>
      <c r="AB49" s="724"/>
      <c r="AC49" s="724"/>
      <c r="AD49" s="724"/>
    </row>
    <row r="50" spans="1:30" ht="15">
      <c r="A50" s="534"/>
      <c r="B50" s="892"/>
      <c r="C50" s="534"/>
      <c r="D50" s="534"/>
      <c r="E50" s="534"/>
      <c r="F50" s="534"/>
      <c r="G50" s="534"/>
      <c r="M50" s="534"/>
      <c r="N50" s="534"/>
      <c r="O50" s="534"/>
      <c r="P50" s="534"/>
      <c r="Q50" s="534"/>
      <c r="R50" s="553"/>
      <c r="S50" s="534"/>
      <c r="T50" s="534"/>
      <c r="U50" s="534"/>
      <c r="V50" s="534"/>
      <c r="W50" s="534"/>
      <c r="X50" s="896"/>
      <c r="Y50" s="724"/>
      <c r="Z50" s="724"/>
      <c r="AA50" s="724"/>
      <c r="AB50" s="724"/>
      <c r="AC50" s="724"/>
      <c r="AD50" s="724"/>
    </row>
    <row r="51" spans="1:30" ht="15">
      <c r="A51" s="534"/>
      <c r="B51" s="892"/>
      <c r="C51" s="534"/>
      <c r="D51" s="534"/>
      <c r="E51" s="534"/>
      <c r="F51" s="534"/>
      <c r="G51" s="534"/>
      <c r="M51" s="534"/>
      <c r="N51" s="534"/>
      <c r="O51" s="534"/>
      <c r="P51" s="534"/>
      <c r="Q51" s="534"/>
      <c r="R51" s="553"/>
      <c r="S51" s="534"/>
      <c r="T51" s="534"/>
      <c r="U51" s="534"/>
      <c r="V51" s="534"/>
      <c r="W51" s="534"/>
      <c r="X51" s="896"/>
      <c r="Y51" s="724"/>
      <c r="Z51" s="724"/>
      <c r="AA51" s="724"/>
      <c r="AB51" s="724"/>
      <c r="AC51" s="724"/>
      <c r="AD51" s="724"/>
    </row>
    <row r="52" spans="1:30" ht="15">
      <c r="A52" s="534"/>
      <c r="B52" s="892"/>
      <c r="C52" s="534"/>
      <c r="D52" s="534"/>
      <c r="E52" s="534"/>
      <c r="F52" s="534"/>
      <c r="G52" s="534"/>
      <c r="M52" s="534"/>
      <c r="N52" s="534"/>
      <c r="O52" s="534"/>
      <c r="P52" s="534"/>
      <c r="Q52" s="534"/>
      <c r="R52" s="553"/>
      <c r="S52" s="534"/>
      <c r="T52" s="534"/>
      <c r="U52" s="534"/>
      <c r="V52" s="534"/>
      <c r="W52" s="534"/>
      <c r="X52" s="896"/>
      <c r="Y52" s="724"/>
      <c r="Z52" s="724"/>
      <c r="AA52" s="724"/>
      <c r="AB52" s="724"/>
      <c r="AC52" s="724"/>
      <c r="AD52" s="724"/>
    </row>
    <row r="53" spans="1:30" ht="15">
      <c r="A53" s="534"/>
      <c r="B53" s="892"/>
      <c r="C53" s="534"/>
      <c r="D53" s="534"/>
      <c r="E53" s="534"/>
      <c r="F53" s="534"/>
      <c r="G53" s="534"/>
      <c r="M53" s="534"/>
      <c r="N53" s="534"/>
      <c r="O53" s="534"/>
      <c r="P53" s="534"/>
      <c r="Q53" s="534"/>
      <c r="R53" s="553"/>
      <c r="S53" s="534"/>
      <c r="T53" s="534"/>
      <c r="U53" s="534"/>
      <c r="V53" s="534"/>
      <c r="W53" s="534"/>
      <c r="X53" s="896"/>
      <c r="Y53" s="724"/>
      <c r="Z53" s="724"/>
      <c r="AA53" s="724"/>
      <c r="AB53" s="724"/>
      <c r="AC53" s="724"/>
      <c r="AD53" s="724"/>
    </row>
    <row r="54" spans="1:30" ht="15">
      <c r="A54" s="534"/>
      <c r="B54" s="892"/>
      <c r="C54" s="534"/>
      <c r="D54" s="534"/>
      <c r="E54" s="534"/>
      <c r="F54" s="534"/>
      <c r="G54" s="534"/>
      <c r="M54" s="534"/>
      <c r="N54" s="534"/>
      <c r="O54" s="534"/>
      <c r="P54" s="534"/>
      <c r="Q54" s="534"/>
      <c r="R54" s="553"/>
      <c r="S54" s="534"/>
      <c r="T54" s="534"/>
      <c r="U54" s="534"/>
      <c r="V54" s="534"/>
      <c r="W54" s="534"/>
      <c r="X54" s="896"/>
      <c r="Y54" s="724"/>
      <c r="Z54" s="724"/>
      <c r="AA54" s="724"/>
      <c r="AB54" s="724"/>
      <c r="AC54" s="724"/>
      <c r="AD54" s="724"/>
    </row>
    <row r="55" spans="1:30" ht="15">
      <c r="A55" s="534"/>
      <c r="B55" s="892"/>
      <c r="C55" s="534"/>
      <c r="D55" s="534"/>
      <c r="E55" s="534"/>
      <c r="F55" s="534"/>
      <c r="G55" s="534"/>
      <c r="M55" s="534"/>
      <c r="N55" s="534"/>
      <c r="O55" s="534"/>
      <c r="P55" s="534"/>
      <c r="Q55" s="534"/>
      <c r="R55" s="553"/>
      <c r="S55" s="534"/>
      <c r="T55" s="534"/>
      <c r="U55" s="534"/>
      <c r="V55" s="534"/>
      <c r="W55" s="534"/>
      <c r="X55" s="896"/>
      <c r="Y55" s="724"/>
      <c r="Z55" s="724"/>
      <c r="AA55" s="724"/>
      <c r="AB55" s="724"/>
      <c r="AC55" s="724"/>
      <c r="AD55" s="724"/>
    </row>
    <row r="56" spans="1:30" ht="15">
      <c r="A56" s="534"/>
      <c r="B56" s="892"/>
      <c r="C56" s="534"/>
      <c r="D56" s="534"/>
      <c r="E56" s="534"/>
      <c r="F56" s="534"/>
      <c r="G56" s="534"/>
      <c r="M56" s="534"/>
      <c r="N56" s="534"/>
      <c r="O56" s="534"/>
      <c r="P56" s="534"/>
      <c r="Q56" s="534"/>
      <c r="R56" s="553"/>
      <c r="S56" s="534"/>
      <c r="T56" s="534"/>
      <c r="U56" s="534"/>
      <c r="V56" s="534"/>
      <c r="W56" s="534"/>
      <c r="X56" s="896"/>
      <c r="Y56" s="724"/>
      <c r="Z56" s="724"/>
      <c r="AA56" s="724"/>
      <c r="AB56" s="724"/>
      <c r="AC56" s="724"/>
      <c r="AD56" s="724"/>
    </row>
    <row r="57" spans="1:30" ht="15">
      <c r="A57" s="534"/>
      <c r="B57" s="892"/>
      <c r="C57" s="534"/>
      <c r="D57" s="534"/>
      <c r="E57" s="534"/>
      <c r="F57" s="534"/>
      <c r="G57" s="534"/>
      <c r="M57" s="534"/>
      <c r="N57" s="534"/>
      <c r="O57" s="534"/>
      <c r="P57" s="534"/>
      <c r="Q57" s="534"/>
      <c r="R57" s="553"/>
      <c r="S57" s="534"/>
      <c r="T57" s="534"/>
      <c r="U57" s="534"/>
      <c r="V57" s="534"/>
      <c r="W57" s="534"/>
      <c r="X57" s="896"/>
      <c r="Y57" s="724"/>
      <c r="Z57" s="724"/>
      <c r="AA57" s="724"/>
      <c r="AB57" s="724"/>
      <c r="AC57" s="724"/>
      <c r="AD57" s="724"/>
    </row>
    <row r="58" spans="1:30" ht="15">
      <c r="A58" s="534"/>
      <c r="B58" s="892"/>
      <c r="C58" s="534"/>
      <c r="D58" s="534"/>
      <c r="E58" s="534"/>
      <c r="F58" s="534"/>
      <c r="G58" s="534"/>
      <c r="M58" s="534"/>
      <c r="N58" s="534"/>
      <c r="O58" s="534"/>
      <c r="P58" s="534"/>
      <c r="Q58" s="534"/>
      <c r="R58" s="553"/>
      <c r="S58" s="534"/>
      <c r="T58" s="534"/>
      <c r="U58" s="534"/>
      <c r="V58" s="534"/>
      <c r="W58" s="534"/>
      <c r="X58" s="896"/>
      <c r="Y58" s="724"/>
      <c r="Z58" s="724"/>
      <c r="AA58" s="724"/>
      <c r="AB58" s="724"/>
      <c r="AC58" s="724"/>
      <c r="AD58" s="724"/>
    </row>
    <row r="59" spans="1:30" ht="15">
      <c r="A59" s="534"/>
      <c r="B59" s="892"/>
      <c r="C59" s="534"/>
      <c r="D59" s="534"/>
      <c r="E59" s="534"/>
      <c r="F59" s="534"/>
      <c r="G59" s="534"/>
      <c r="M59" s="534"/>
      <c r="N59" s="534"/>
      <c r="O59" s="534"/>
      <c r="P59" s="534"/>
      <c r="Q59" s="534"/>
      <c r="R59" s="553"/>
      <c r="S59" s="534"/>
      <c r="T59" s="534"/>
      <c r="U59" s="534"/>
      <c r="V59" s="534"/>
      <c r="W59" s="534"/>
      <c r="X59" s="896"/>
      <c r="Y59" s="724"/>
      <c r="Z59" s="724"/>
      <c r="AA59" s="724"/>
      <c r="AB59" s="724"/>
      <c r="AC59" s="724"/>
      <c r="AD59" s="724"/>
    </row>
    <row r="60" spans="1:30" ht="15">
      <c r="A60" s="534"/>
      <c r="B60" s="892"/>
      <c r="C60" s="534"/>
      <c r="D60" s="534"/>
      <c r="E60" s="534"/>
      <c r="F60" s="534"/>
      <c r="G60" s="534"/>
      <c r="M60" s="534"/>
      <c r="N60" s="534"/>
      <c r="O60" s="534"/>
      <c r="P60" s="534"/>
      <c r="Q60" s="534"/>
      <c r="R60" s="553"/>
      <c r="S60" s="534"/>
      <c r="T60" s="534"/>
      <c r="U60" s="534"/>
      <c r="V60" s="534"/>
      <c r="W60" s="534"/>
      <c r="X60" s="896"/>
      <c r="Y60" s="724"/>
      <c r="Z60" s="724"/>
      <c r="AA60" s="724"/>
      <c r="AB60" s="724"/>
      <c r="AC60" s="724"/>
      <c r="AD60" s="724"/>
    </row>
    <row r="61" spans="1:30" ht="15">
      <c r="A61" s="534"/>
      <c r="B61" s="892"/>
      <c r="C61" s="534"/>
      <c r="D61" s="534"/>
      <c r="E61" s="534"/>
      <c r="F61" s="534"/>
      <c r="G61" s="534"/>
      <c r="M61" s="534"/>
      <c r="N61" s="534"/>
      <c r="O61" s="534"/>
      <c r="P61" s="534"/>
      <c r="Q61" s="534"/>
      <c r="R61" s="553"/>
      <c r="S61" s="534"/>
      <c r="T61" s="534"/>
      <c r="U61" s="534"/>
      <c r="V61" s="534"/>
      <c r="W61" s="534"/>
      <c r="X61" s="896"/>
      <c r="Y61" s="724"/>
      <c r="Z61" s="724"/>
      <c r="AA61" s="724"/>
      <c r="AB61" s="724"/>
      <c r="AC61" s="724"/>
      <c r="AD61" s="724"/>
    </row>
    <row r="62" spans="1:30" ht="15">
      <c r="A62" s="534"/>
      <c r="B62" s="892"/>
      <c r="C62" s="534"/>
      <c r="D62" s="534"/>
      <c r="E62" s="534"/>
      <c r="F62" s="534"/>
      <c r="G62" s="534"/>
      <c r="K62" s="96"/>
      <c r="M62" s="534"/>
      <c r="N62" s="534"/>
      <c r="O62" s="534"/>
      <c r="P62" s="534"/>
      <c r="Q62" s="534"/>
      <c r="R62" s="553"/>
      <c r="S62" s="534"/>
      <c r="T62" s="534"/>
      <c r="U62" s="534"/>
      <c r="V62" s="534"/>
      <c r="W62" s="534"/>
      <c r="X62" s="896"/>
      <c r="Y62" s="724"/>
      <c r="Z62" s="724"/>
      <c r="AA62" s="724"/>
      <c r="AB62" s="724"/>
      <c r="AC62" s="724"/>
      <c r="AD62" s="724"/>
    </row>
    <row r="63" spans="1:30" ht="15">
      <c r="A63" s="534"/>
      <c r="B63" s="892"/>
      <c r="C63" s="534"/>
      <c r="D63" s="534"/>
      <c r="E63" s="534"/>
      <c r="F63" s="534"/>
      <c r="G63" s="534"/>
      <c r="N63" s="534"/>
      <c r="O63" s="534"/>
      <c r="P63" s="534"/>
      <c r="Q63" s="534"/>
      <c r="R63" s="553"/>
      <c r="S63" s="534"/>
      <c r="T63" s="534"/>
      <c r="U63" s="534"/>
      <c r="V63" s="534"/>
      <c r="W63" s="534"/>
      <c r="X63" s="896"/>
      <c r="Y63" s="724"/>
      <c r="Z63" s="724"/>
      <c r="AA63" s="724"/>
      <c r="AB63" s="724"/>
      <c r="AC63" s="724"/>
      <c r="AD63" s="724"/>
    </row>
    <row r="64" spans="1:30" ht="15">
      <c r="A64" s="534"/>
      <c r="B64" s="892"/>
      <c r="C64" s="534"/>
      <c r="D64" s="534"/>
      <c r="E64" s="534"/>
      <c r="F64" s="534"/>
      <c r="G64" s="534" t="s">
        <v>935</v>
      </c>
      <c r="H64" s="534"/>
      <c r="I64" s="534"/>
      <c r="J64" s="534"/>
      <c r="K64" s="534"/>
      <c r="L64" s="534"/>
      <c r="M64" s="534"/>
      <c r="N64" s="534" t="s">
        <v>937</v>
      </c>
      <c r="O64" s="534"/>
      <c r="P64" s="534"/>
      <c r="Q64" s="534"/>
      <c r="R64" s="534"/>
      <c r="S64" s="534"/>
      <c r="T64" s="534"/>
      <c r="U64" s="534"/>
      <c r="V64" s="534"/>
      <c r="W64" s="534"/>
      <c r="X64" s="896"/>
      <c r="Y64" s="724"/>
      <c r="Z64" s="724"/>
      <c r="AA64" s="724"/>
      <c r="AB64" s="724"/>
      <c r="AC64" s="724"/>
      <c r="AD64" s="724"/>
    </row>
    <row r="65" spans="1:30" ht="15">
      <c r="A65" s="534"/>
      <c r="B65" s="892"/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534"/>
      <c r="N65" s="534"/>
      <c r="O65" s="534"/>
      <c r="P65" s="534"/>
      <c r="Q65" s="534"/>
      <c r="R65" s="534"/>
      <c r="S65" s="534"/>
      <c r="T65" s="534"/>
      <c r="U65" s="534"/>
      <c r="V65" s="534"/>
      <c r="W65" s="534"/>
      <c r="X65" s="896"/>
      <c r="Y65" s="724"/>
      <c r="Z65" s="724"/>
      <c r="AA65" s="724"/>
      <c r="AB65" s="724"/>
      <c r="AC65" s="724"/>
      <c r="AD65" s="724"/>
    </row>
    <row r="66" spans="1:30" ht="15">
      <c r="A66" s="534"/>
      <c r="B66" s="892"/>
      <c r="C66" s="534"/>
      <c r="D66" s="534"/>
      <c r="E66" s="534"/>
      <c r="F66" s="534"/>
      <c r="G66" s="534" t="s">
        <v>936</v>
      </c>
      <c r="H66" s="534"/>
      <c r="I66" s="534"/>
      <c r="J66" s="534"/>
      <c r="L66" s="534"/>
      <c r="M66" s="534"/>
      <c r="N66" s="534" t="s">
        <v>936</v>
      </c>
      <c r="O66" s="534"/>
      <c r="P66" s="534"/>
      <c r="Q66" s="534"/>
      <c r="S66" s="534"/>
      <c r="T66" s="534"/>
      <c r="U66" s="534"/>
      <c r="V66" s="534"/>
      <c r="W66" s="534"/>
      <c r="X66" s="896"/>
      <c r="Y66" s="724"/>
      <c r="Z66" s="724"/>
      <c r="AA66" s="724"/>
      <c r="AB66" s="724"/>
      <c r="AC66" s="724"/>
      <c r="AD66" s="724"/>
    </row>
    <row r="67" spans="1:30" ht="15">
      <c r="A67" s="534"/>
      <c r="B67" s="892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4"/>
      <c r="N67" s="534"/>
      <c r="O67" s="534"/>
      <c r="P67" s="534"/>
      <c r="Q67" s="534"/>
      <c r="R67" s="534"/>
      <c r="S67" s="534"/>
      <c r="T67" s="534"/>
      <c r="U67" s="534"/>
      <c r="V67" s="534"/>
      <c r="W67" s="534"/>
      <c r="X67" s="896"/>
      <c r="Y67" s="724"/>
      <c r="Z67" s="724"/>
      <c r="AA67" s="724"/>
      <c r="AB67" s="724"/>
      <c r="AC67" s="724"/>
      <c r="AD67" s="724"/>
    </row>
    <row r="68" spans="1:30" ht="15">
      <c r="A68" s="534"/>
      <c r="B68" s="892"/>
      <c r="C68" s="534"/>
      <c r="D68" s="534"/>
      <c r="E68" s="534"/>
      <c r="F68" s="534"/>
      <c r="G68" s="534"/>
      <c r="H68" s="534"/>
      <c r="I68" s="534"/>
      <c r="J68" s="534"/>
      <c r="K68" s="534"/>
      <c r="M68" s="534"/>
      <c r="N68" s="534"/>
      <c r="O68" s="534"/>
      <c r="P68" s="534"/>
      <c r="Q68" s="534"/>
      <c r="R68" s="534"/>
      <c r="T68" s="534"/>
      <c r="U68" s="534"/>
      <c r="V68" s="534"/>
      <c r="W68" s="534"/>
      <c r="X68" s="896"/>
      <c r="Y68" s="724"/>
      <c r="Z68" s="724"/>
      <c r="AA68" s="724"/>
      <c r="AB68" s="724"/>
      <c r="AC68" s="724"/>
      <c r="AD68" s="724"/>
    </row>
    <row r="69" spans="1:30" ht="15">
      <c r="A69" s="534"/>
      <c r="B69" s="892"/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4"/>
      <c r="N69" s="534"/>
      <c r="O69" s="534"/>
      <c r="P69" s="534"/>
      <c r="Q69" s="534"/>
      <c r="R69" s="534"/>
      <c r="S69" s="534"/>
      <c r="T69" s="534"/>
      <c r="U69" s="534"/>
      <c r="V69" s="534"/>
      <c r="W69" s="534"/>
      <c r="X69" s="896"/>
      <c r="Y69" s="724"/>
      <c r="Z69" s="724"/>
      <c r="AA69" s="724"/>
      <c r="AB69" s="724"/>
      <c r="AC69" s="724"/>
      <c r="AD69" s="724"/>
    </row>
    <row r="70" spans="1:30" ht="15">
      <c r="A70" s="534"/>
      <c r="B70" s="892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53"/>
      <c r="S70" s="534"/>
      <c r="T70" s="534"/>
      <c r="U70" s="534"/>
      <c r="V70" s="534"/>
      <c r="W70" s="534"/>
      <c r="X70" s="896"/>
      <c r="Y70" s="724"/>
      <c r="Z70" s="724"/>
      <c r="AA70" s="724"/>
      <c r="AB70" s="724"/>
      <c r="AC70" s="724"/>
      <c r="AD70" s="724"/>
    </row>
    <row r="71" spans="1:30" ht="15">
      <c r="A71" s="534"/>
      <c r="B71" s="892"/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4"/>
      <c r="P71" s="534"/>
      <c r="Q71" s="534"/>
      <c r="R71" s="553"/>
      <c r="S71" s="534"/>
      <c r="T71" s="534"/>
      <c r="U71" s="534"/>
      <c r="V71" s="534"/>
      <c r="W71" s="534"/>
      <c r="X71" s="896"/>
      <c r="Y71" s="724"/>
      <c r="Z71" s="724"/>
      <c r="AA71" s="724"/>
      <c r="AB71" s="724"/>
      <c r="AC71" s="724"/>
      <c r="AD71" s="724"/>
    </row>
    <row r="72" spans="1:30" ht="15">
      <c r="A72" s="534"/>
      <c r="B72" s="892"/>
      <c r="C72" s="534"/>
      <c r="D72" s="534"/>
      <c r="E72" s="534"/>
      <c r="F72" s="534"/>
      <c r="G72" s="534"/>
      <c r="I72" s="534"/>
      <c r="J72" s="1100">
        <f>(J35*1000/M25)/K25</f>
        <v>141414.95587735876</v>
      </c>
      <c r="K72" s="534"/>
      <c r="L72" s="534"/>
      <c r="M72" s="534"/>
      <c r="N72" s="1100">
        <f>(J35*1000/(M25+(300-20)*5.2))/K25</f>
        <v>1916.1918140563516</v>
      </c>
      <c r="O72" s="534"/>
      <c r="P72" s="534"/>
      <c r="Q72" s="534"/>
      <c r="R72" s="553"/>
      <c r="S72" s="534"/>
      <c r="T72" s="534"/>
      <c r="U72" s="534"/>
      <c r="V72" s="534"/>
      <c r="W72" s="534"/>
      <c r="X72" s="896"/>
      <c r="Y72" s="724"/>
      <c r="Z72" s="724"/>
      <c r="AA72" s="724"/>
      <c r="AB72" s="724"/>
      <c r="AC72" s="724"/>
      <c r="AD72" s="724"/>
    </row>
    <row r="73" spans="1:30" ht="15">
      <c r="A73" s="534"/>
      <c r="B73" s="892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53"/>
      <c r="S73" s="534"/>
      <c r="T73" s="534"/>
      <c r="U73" s="534"/>
      <c r="V73" s="534"/>
      <c r="W73" s="534"/>
      <c r="X73" s="896"/>
      <c r="Y73" s="724"/>
      <c r="Z73" s="724"/>
      <c r="AA73" s="724"/>
      <c r="AB73" s="724"/>
      <c r="AC73" s="724"/>
      <c r="AD73" s="724"/>
    </row>
    <row r="74" spans="1:30" ht="15">
      <c r="A74" s="534"/>
      <c r="B74" s="892"/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53"/>
      <c r="S74" s="534"/>
      <c r="T74" s="534"/>
      <c r="U74" s="534"/>
      <c r="V74" s="534"/>
      <c r="W74" s="534"/>
      <c r="X74" s="896"/>
      <c r="Y74" s="724"/>
      <c r="Z74" s="724"/>
      <c r="AA74" s="724"/>
      <c r="AB74" s="724"/>
      <c r="AC74" s="724"/>
      <c r="AD74" s="724"/>
    </row>
    <row r="75" spans="1:30" ht="15">
      <c r="A75" s="534"/>
      <c r="B75" s="892"/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534"/>
      <c r="N75" s="534"/>
      <c r="O75" s="534"/>
      <c r="P75" s="534"/>
      <c r="Q75" s="534"/>
      <c r="R75" s="553"/>
      <c r="S75" s="534"/>
      <c r="T75" s="534"/>
      <c r="U75" s="534"/>
      <c r="V75" s="534"/>
      <c r="W75" s="534"/>
      <c r="X75" s="896"/>
      <c r="Y75" s="724"/>
      <c r="Z75" s="724"/>
      <c r="AA75" s="724"/>
      <c r="AB75" s="724"/>
      <c r="AC75" s="724"/>
      <c r="AD75" s="724"/>
    </row>
    <row r="76" spans="1:30" ht="15.75">
      <c r="A76" s="534"/>
      <c r="B76" s="892"/>
      <c r="C76" s="534"/>
      <c r="D76" s="913" t="s">
        <v>938</v>
      </c>
      <c r="E76" s="913"/>
      <c r="F76" s="913"/>
      <c r="G76" s="913"/>
      <c r="H76" s="913"/>
      <c r="I76" s="913"/>
      <c r="J76" s="913"/>
      <c r="K76" s="913"/>
      <c r="L76" s="913"/>
      <c r="M76" s="913"/>
      <c r="N76" s="913"/>
      <c r="O76" s="913"/>
      <c r="P76" s="913"/>
      <c r="Q76" s="914"/>
      <c r="R76" s="914"/>
      <c r="S76" s="915"/>
      <c r="T76" s="534"/>
      <c r="U76" s="534"/>
      <c r="V76" s="534"/>
      <c r="W76" s="534"/>
      <c r="X76" s="896"/>
      <c r="Y76" s="724"/>
      <c r="Z76" s="724"/>
      <c r="AA76" s="724"/>
      <c r="AB76" s="724"/>
      <c r="AC76" s="724"/>
      <c r="AD76" s="724"/>
    </row>
    <row r="77" spans="1:30" ht="15">
      <c r="A77" s="534"/>
      <c r="B77" s="892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4"/>
      <c r="N77" s="534"/>
      <c r="O77" s="534"/>
      <c r="P77" s="534"/>
      <c r="Q77" s="534"/>
      <c r="R77" s="553"/>
      <c r="S77" s="534"/>
      <c r="T77" s="534"/>
      <c r="U77" s="534"/>
      <c r="V77" s="534"/>
      <c r="W77" s="534"/>
      <c r="X77" s="896"/>
      <c r="Y77" s="724"/>
      <c r="Z77" s="724"/>
      <c r="AA77" s="724"/>
      <c r="AB77" s="724"/>
      <c r="AC77" s="724"/>
      <c r="AD77" s="724"/>
    </row>
    <row r="78" spans="1:30" ht="15">
      <c r="A78" s="534"/>
      <c r="B78" s="892"/>
      <c r="C78" s="534"/>
      <c r="D78" s="534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53"/>
      <c r="S78" s="534"/>
      <c r="T78" s="534"/>
      <c r="U78" s="534"/>
      <c r="V78" s="534"/>
      <c r="W78" s="534"/>
      <c r="X78" s="896"/>
      <c r="Y78" s="724"/>
      <c r="Z78" s="724"/>
      <c r="AA78" s="724"/>
      <c r="AB78" s="724"/>
      <c r="AC78" s="724"/>
      <c r="AD78" s="724"/>
    </row>
    <row r="79" spans="1:30" ht="15">
      <c r="A79" s="534"/>
      <c r="B79" s="892"/>
      <c r="C79" s="534"/>
      <c r="D79" s="534"/>
      <c r="E79" s="534"/>
      <c r="F79" s="534"/>
      <c r="G79" s="534"/>
      <c r="H79" s="534"/>
      <c r="I79" s="182"/>
      <c r="J79" s="1091" t="s">
        <v>388</v>
      </c>
      <c r="K79" s="534"/>
      <c r="L79" s="134" t="s">
        <v>240</v>
      </c>
      <c r="M79" s="134" t="s">
        <v>241</v>
      </c>
      <c r="N79" s="134" t="s">
        <v>242</v>
      </c>
      <c r="O79" s="134" t="s">
        <v>518</v>
      </c>
      <c r="P79" s="134" t="s">
        <v>245</v>
      </c>
      <c r="Q79" s="134" t="s">
        <v>529</v>
      </c>
      <c r="R79" s="134" t="s">
        <v>316</v>
      </c>
      <c r="S79" s="534"/>
      <c r="T79" s="534"/>
      <c r="U79" s="534"/>
      <c r="V79" s="534"/>
      <c r="W79" s="534"/>
      <c r="X79" s="896"/>
      <c r="Y79" s="724"/>
      <c r="Z79" s="724"/>
      <c r="AA79" s="724"/>
      <c r="AB79" s="724"/>
      <c r="AC79" s="724"/>
      <c r="AD79" s="724"/>
    </row>
    <row r="80" spans="1:30" ht="15">
      <c r="A80" s="534"/>
      <c r="B80" s="892"/>
      <c r="C80" s="534"/>
      <c r="D80" s="534"/>
      <c r="E80" s="534"/>
      <c r="F80" s="534"/>
      <c r="G80" s="534"/>
      <c r="H80" s="534"/>
      <c r="I80" s="796" t="s">
        <v>925</v>
      </c>
      <c r="J80" s="1092">
        <v>60.3</v>
      </c>
      <c r="K80" s="534"/>
      <c r="L80" s="133" t="s">
        <v>84</v>
      </c>
      <c r="M80" s="133" t="s">
        <v>96</v>
      </c>
      <c r="N80" s="133" t="s">
        <v>82</v>
      </c>
      <c r="O80" s="133" t="s">
        <v>251</v>
      </c>
      <c r="P80" s="133" t="s">
        <v>251</v>
      </c>
      <c r="Q80" s="133" t="s">
        <v>939</v>
      </c>
      <c r="R80" s="133" t="s">
        <v>940</v>
      </c>
      <c r="S80" s="534"/>
      <c r="T80" s="534"/>
      <c r="U80" s="534"/>
      <c r="V80" s="534"/>
      <c r="W80" s="534"/>
      <c r="X80" s="896"/>
      <c r="Y80" s="724"/>
      <c r="Z80" s="724"/>
      <c r="AA80" s="724"/>
      <c r="AB80" s="724"/>
      <c r="AC80" s="724"/>
      <c r="AD80" s="724"/>
    </row>
    <row r="81" spans="1:30" ht="15.75">
      <c r="A81" s="534"/>
      <c r="B81" s="892"/>
      <c r="C81" s="534"/>
      <c r="D81" s="534"/>
      <c r="E81" s="534"/>
      <c r="F81" s="534"/>
      <c r="G81" s="534"/>
      <c r="H81" s="534"/>
      <c r="I81" s="796" t="s">
        <v>926</v>
      </c>
      <c r="J81" s="1092">
        <v>1.65</v>
      </c>
      <c r="K81" s="534"/>
      <c r="L81" s="1096">
        <v>1.2312665282126309</v>
      </c>
      <c r="M81" s="1097">
        <v>30</v>
      </c>
      <c r="N81" s="1098">
        <f>[9]!Rho_(11,L81,M81)</f>
        <v>1.9701640922761452</v>
      </c>
      <c r="O81" s="1099">
        <f>[9]!cp_(11,L81,M81)</f>
        <v>5.2231081523467235</v>
      </c>
      <c r="P81" s="1099">
        <v>20</v>
      </c>
      <c r="Q81" s="1103">
        <v>42</v>
      </c>
      <c r="R81" s="1104">
        <f>Q81*N81</f>
        <v>82.746891875598095</v>
      </c>
      <c r="S81" s="534"/>
      <c r="T81" s="534"/>
      <c r="U81" s="534"/>
      <c r="V81" s="534"/>
      <c r="W81" s="534"/>
      <c r="X81" s="896"/>
      <c r="Y81" s="724"/>
      <c r="Z81" s="724"/>
      <c r="AA81" s="724"/>
      <c r="AB81" s="724"/>
      <c r="AC81" s="724"/>
      <c r="AD81" s="724"/>
    </row>
    <row r="82" spans="1:30" ht="15.75">
      <c r="A82" s="534"/>
      <c r="B82" s="892"/>
      <c r="C82" s="534"/>
      <c r="D82" s="534"/>
      <c r="E82" s="534"/>
      <c r="F82" s="534"/>
      <c r="G82" s="534"/>
      <c r="H82" s="534"/>
      <c r="I82" s="796" t="s">
        <v>854</v>
      </c>
      <c r="J82" s="1101">
        <v>5</v>
      </c>
      <c r="K82" s="534"/>
      <c r="L82" s="1096">
        <v>1.22</v>
      </c>
      <c r="M82" s="1097">
        <v>30</v>
      </c>
      <c r="N82" s="1098">
        <f>[9]!Rho_(11,L82,M82)</f>
        <v>1.9521879018013255</v>
      </c>
      <c r="O82" s="1099">
        <f>[9]!cp_(11,L82,M82)</f>
        <v>5.2228353973613197</v>
      </c>
      <c r="P82" s="1099">
        <v>20</v>
      </c>
      <c r="Q82" s="1103">
        <v>42</v>
      </c>
      <c r="R82" s="1104">
        <f>Q82*N82</f>
        <v>81.991891875655668</v>
      </c>
      <c r="S82" s="534"/>
      <c r="T82" s="534"/>
      <c r="U82" s="534"/>
      <c r="V82" s="534"/>
      <c r="W82" s="534"/>
      <c r="X82" s="896"/>
      <c r="Y82" s="724"/>
      <c r="Z82" s="724"/>
      <c r="AA82" s="724"/>
      <c r="AB82" s="724"/>
      <c r="AC82" s="724"/>
      <c r="AD82" s="724"/>
    </row>
    <row r="83" spans="1:30" ht="15">
      <c r="A83" s="534"/>
      <c r="B83" s="892"/>
      <c r="C83" s="534"/>
      <c r="D83" s="534"/>
      <c r="E83" s="534"/>
      <c r="F83" s="534"/>
      <c r="G83" s="534"/>
      <c r="H83" s="534"/>
      <c r="I83" s="796" t="s">
        <v>927</v>
      </c>
      <c r="J83" s="975">
        <v>7900</v>
      </c>
      <c r="K83" s="534"/>
      <c r="L83" s="1105">
        <f>+(L81-L82)*1000</f>
        <v>11.266528212630966</v>
      </c>
      <c r="M83" s="534"/>
      <c r="N83" s="534"/>
      <c r="O83" s="534"/>
      <c r="P83" s="534"/>
      <c r="Q83" s="534"/>
      <c r="R83" s="1106">
        <f>(R81-R82)*1000</f>
        <v>754.99999994242728</v>
      </c>
      <c r="S83" s="534"/>
      <c r="T83" s="534"/>
      <c r="U83" s="534"/>
      <c r="V83" s="534"/>
      <c r="W83" s="534"/>
      <c r="X83" s="896"/>
      <c r="Y83" s="724"/>
      <c r="Z83" s="724"/>
      <c r="AA83" s="724"/>
      <c r="AB83" s="724"/>
      <c r="AC83" s="724"/>
      <c r="AD83" s="724"/>
    </row>
    <row r="84" spans="1:30" ht="15">
      <c r="A84" s="534"/>
      <c r="B84" s="892"/>
      <c r="C84" s="534"/>
      <c r="D84" s="534"/>
      <c r="E84" s="534"/>
      <c r="F84" s="534"/>
      <c r="G84" s="534"/>
      <c r="H84" s="534"/>
      <c r="I84" s="796" t="s">
        <v>928</v>
      </c>
      <c r="J84" s="1094">
        <f>((J80/2000)^2*PI()-((J80-J81*2)/2000)^2*PI())*J82*J83</f>
        <v>12.008781115245965</v>
      </c>
      <c r="K84" s="534"/>
      <c r="L84" s="534"/>
      <c r="O84" s="534"/>
      <c r="P84" s="534"/>
      <c r="Q84" s="534"/>
      <c r="R84" s="553"/>
      <c r="S84" s="534"/>
      <c r="T84" s="534"/>
      <c r="U84" s="534"/>
      <c r="V84" s="534"/>
      <c r="W84" s="534"/>
      <c r="X84" s="896"/>
      <c r="Y84" s="724"/>
      <c r="Z84" s="724"/>
      <c r="AA84" s="724"/>
      <c r="AB84" s="724"/>
      <c r="AC84" s="724"/>
      <c r="AD84" s="724"/>
    </row>
    <row r="85" spans="1:30" ht="15">
      <c r="A85" s="534"/>
      <c r="B85" s="892"/>
      <c r="C85" s="534"/>
      <c r="D85" s="534"/>
      <c r="E85" s="534"/>
      <c r="F85" s="534"/>
      <c r="G85" s="534"/>
      <c r="H85" s="534"/>
      <c r="I85" s="796" t="s">
        <v>942</v>
      </c>
      <c r="J85" s="1095">
        <f>J84*($J$15-$J$18)/1000</f>
        <v>1060.4656256715684</v>
      </c>
      <c r="K85" s="534"/>
      <c r="L85" s="534"/>
      <c r="M85" s="534"/>
      <c r="N85" s="534"/>
      <c r="O85" s="534"/>
      <c r="P85" s="534"/>
      <c r="Q85" s="534"/>
      <c r="R85" s="553"/>
      <c r="S85" s="534"/>
      <c r="T85" s="534"/>
      <c r="U85" s="534"/>
      <c r="V85" s="534"/>
      <c r="W85" s="534"/>
      <c r="X85" s="896"/>
      <c r="Y85" s="724"/>
      <c r="Z85" s="724"/>
      <c r="AA85" s="724"/>
      <c r="AB85" s="724"/>
      <c r="AC85" s="724"/>
      <c r="AD85" s="724"/>
    </row>
    <row r="86" spans="1:30" ht="15">
      <c r="A86" s="534"/>
      <c r="B86" s="892"/>
      <c r="C86" s="534"/>
      <c r="D86" s="534"/>
      <c r="E86" s="534"/>
      <c r="F86" s="534"/>
      <c r="G86" s="534"/>
      <c r="H86" s="534"/>
      <c r="I86" s="796"/>
      <c r="J86" s="1095"/>
      <c r="K86" s="534"/>
      <c r="L86" s="534"/>
      <c r="M86" s="534"/>
      <c r="N86" s="534"/>
      <c r="O86" s="534"/>
      <c r="P86" s="534"/>
      <c r="Q86" s="534"/>
      <c r="R86" s="553"/>
      <c r="S86" s="534"/>
      <c r="T86" s="534"/>
      <c r="U86" s="534"/>
      <c r="V86" s="534"/>
      <c r="W86" s="534"/>
      <c r="X86" s="896"/>
      <c r="Y86" s="724"/>
      <c r="Z86" s="724"/>
      <c r="AA86" s="724"/>
      <c r="AB86" s="724"/>
      <c r="AC86" s="724"/>
      <c r="AD86" s="724"/>
    </row>
    <row r="87" spans="1:30" ht="15">
      <c r="A87" s="534"/>
      <c r="B87" s="892"/>
      <c r="C87" s="534"/>
      <c r="D87" s="534"/>
      <c r="E87" s="534"/>
      <c r="F87" s="534"/>
      <c r="G87" s="534"/>
      <c r="H87" s="534"/>
      <c r="I87" s="796"/>
      <c r="J87" s="1102">
        <f>(J85*1000/((300-30)*5.2))</f>
        <v>755.31739720197174</v>
      </c>
      <c r="K87" s="534"/>
      <c r="L87" s="534"/>
      <c r="M87" s="534"/>
      <c r="N87" s="534"/>
      <c r="O87" s="534"/>
      <c r="P87" s="534"/>
      <c r="Q87" s="534"/>
      <c r="R87" s="553"/>
      <c r="S87" s="534"/>
      <c r="T87" s="534"/>
      <c r="U87" s="534"/>
      <c r="V87" s="534"/>
      <c r="W87" s="534"/>
      <c r="X87" s="896"/>
      <c r="Y87" s="724"/>
      <c r="Z87" s="724"/>
      <c r="AA87" s="724"/>
      <c r="AB87" s="724"/>
      <c r="AC87" s="724"/>
      <c r="AD87" s="724"/>
    </row>
    <row r="88" spans="1:30" ht="15">
      <c r="A88" s="534"/>
      <c r="B88" s="892"/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53"/>
      <c r="S88" s="534"/>
      <c r="T88" s="534"/>
      <c r="U88" s="534"/>
      <c r="V88" s="534"/>
      <c r="W88" s="534"/>
      <c r="X88" s="896"/>
      <c r="Y88" s="724"/>
      <c r="Z88" s="724"/>
      <c r="AA88" s="724"/>
      <c r="AB88" s="724"/>
      <c r="AC88" s="724"/>
      <c r="AD88" s="724"/>
    </row>
    <row r="89" spans="1:30" ht="15">
      <c r="A89" s="534"/>
      <c r="B89" s="892"/>
      <c r="C89" s="534"/>
      <c r="D89" s="534"/>
      <c r="E89" s="534"/>
      <c r="F89" s="534"/>
      <c r="G89" s="534"/>
      <c r="H89" s="534"/>
      <c r="I89" s="534"/>
      <c r="J89" s="1100">
        <f>J87/N81</f>
        <v>383.37791261302908</v>
      </c>
      <c r="K89" s="534"/>
      <c r="L89" s="534"/>
      <c r="O89" s="534"/>
      <c r="P89" s="534"/>
      <c r="Q89" s="534"/>
      <c r="R89" s="553"/>
      <c r="S89" s="534"/>
      <c r="T89" s="534"/>
      <c r="U89" s="534"/>
      <c r="V89" s="534"/>
      <c r="W89" s="534"/>
      <c r="X89" s="896"/>
      <c r="Y89" s="724"/>
      <c r="Z89" s="724"/>
      <c r="AA89" s="724"/>
      <c r="AB89" s="724"/>
      <c r="AC89" s="724"/>
      <c r="AD89" s="724"/>
    </row>
    <row r="90" spans="1:30" ht="15">
      <c r="A90" s="534"/>
      <c r="B90" s="892"/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53"/>
      <c r="S90" s="534"/>
      <c r="T90" s="534"/>
      <c r="U90" s="534"/>
      <c r="V90" s="534"/>
      <c r="W90" s="534"/>
      <c r="X90" s="896"/>
      <c r="Y90" s="724"/>
      <c r="Z90" s="724"/>
      <c r="AA90" s="724"/>
      <c r="AB90" s="724"/>
      <c r="AC90" s="724"/>
      <c r="AD90" s="724"/>
    </row>
    <row r="91" spans="1:30" ht="15">
      <c r="A91" s="534"/>
      <c r="B91" s="892"/>
      <c r="C91" s="534"/>
      <c r="D91" s="534"/>
      <c r="E91" s="534"/>
      <c r="F91" s="534"/>
      <c r="G91" s="534"/>
      <c r="I91" s="534"/>
      <c r="J91" s="534"/>
      <c r="K91" s="534"/>
      <c r="L91" s="534"/>
      <c r="M91" s="534"/>
      <c r="N91" s="534"/>
      <c r="O91" s="534"/>
      <c r="P91" s="534"/>
      <c r="Q91" s="534"/>
      <c r="R91" s="553"/>
      <c r="S91" s="534"/>
      <c r="T91" s="534"/>
      <c r="U91" s="534"/>
      <c r="V91" s="534"/>
      <c r="W91" s="534"/>
      <c r="X91" s="896"/>
      <c r="Y91" s="724"/>
      <c r="Z91" s="724"/>
      <c r="AA91" s="724"/>
      <c r="AB91" s="724"/>
      <c r="AC91" s="724"/>
      <c r="AD91" s="724"/>
    </row>
    <row r="92" spans="1:30" ht="15">
      <c r="A92" s="534"/>
      <c r="B92" s="892"/>
      <c r="C92" s="534"/>
      <c r="D92" s="534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53"/>
      <c r="S92" s="534"/>
      <c r="T92" s="534"/>
      <c r="U92" s="534"/>
      <c r="V92" s="534"/>
      <c r="W92" s="534"/>
      <c r="X92" s="896"/>
      <c r="Y92" s="724"/>
      <c r="Z92" s="724"/>
      <c r="AA92" s="724"/>
      <c r="AB92" s="724"/>
      <c r="AC92" s="724"/>
      <c r="AD92" s="724"/>
    </row>
    <row r="93" spans="1:30" ht="15">
      <c r="A93" s="534"/>
      <c r="B93" s="892"/>
      <c r="C93" s="534"/>
      <c r="D93" s="534"/>
      <c r="E93" s="534"/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53"/>
      <c r="S93" s="534"/>
      <c r="T93" s="534"/>
      <c r="U93" s="534"/>
      <c r="V93" s="534"/>
      <c r="W93" s="534"/>
      <c r="X93" s="896"/>
      <c r="Y93" s="724"/>
      <c r="Z93" s="724"/>
      <c r="AA93" s="724"/>
      <c r="AB93" s="724"/>
      <c r="AC93" s="724"/>
      <c r="AD93" s="724"/>
    </row>
    <row r="94" spans="1:30" ht="15">
      <c r="A94" s="534"/>
      <c r="B94" s="892"/>
      <c r="C94" s="534"/>
      <c r="D94" s="534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53"/>
      <c r="S94" s="534"/>
      <c r="T94" s="534"/>
      <c r="U94" s="534"/>
      <c r="V94" s="534"/>
      <c r="W94" s="534"/>
      <c r="X94" s="896"/>
      <c r="Y94" s="724"/>
      <c r="Z94" s="724"/>
      <c r="AA94" s="724"/>
      <c r="AB94" s="724"/>
      <c r="AC94" s="724"/>
      <c r="AD94" s="724"/>
    </row>
    <row r="95" spans="1:30" ht="15">
      <c r="A95" s="534"/>
      <c r="B95" s="892"/>
      <c r="C95" s="534"/>
      <c r="D95" s="534"/>
      <c r="E95" s="534"/>
      <c r="F95" s="534"/>
      <c r="G95" s="534"/>
      <c r="H95" s="534"/>
      <c r="I95" s="534"/>
      <c r="J95" s="534"/>
      <c r="K95" s="534"/>
      <c r="L95" s="534"/>
      <c r="M95" s="534"/>
      <c r="N95" s="534"/>
      <c r="O95" s="534"/>
      <c r="P95" s="534"/>
      <c r="Q95" s="534"/>
      <c r="R95" s="553"/>
      <c r="S95" s="534"/>
      <c r="T95" s="534"/>
      <c r="U95" s="534"/>
      <c r="V95" s="534"/>
      <c r="W95" s="534"/>
      <c r="X95" s="896"/>
      <c r="Y95" s="724"/>
      <c r="Z95" s="724"/>
      <c r="AA95" s="724"/>
      <c r="AB95" s="724"/>
      <c r="AC95" s="724"/>
      <c r="AD95" s="724"/>
    </row>
    <row r="96" spans="1:30" ht="15">
      <c r="A96" s="534"/>
      <c r="B96" s="892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53"/>
      <c r="S96" s="534"/>
      <c r="T96" s="534"/>
      <c r="U96" s="534"/>
      <c r="V96" s="534"/>
      <c r="W96" s="534"/>
      <c r="X96" s="896"/>
      <c r="Y96" s="724"/>
      <c r="Z96" s="724"/>
      <c r="AA96" s="724"/>
      <c r="AB96" s="724"/>
      <c r="AC96" s="724"/>
      <c r="AD96" s="724"/>
    </row>
    <row r="97" spans="1:30" ht="15">
      <c r="A97" s="534"/>
      <c r="B97" s="892"/>
      <c r="C97" s="534"/>
      <c r="D97" s="534"/>
      <c r="E97" s="534"/>
      <c r="F97" s="534"/>
      <c r="G97" s="534"/>
      <c r="H97" s="534"/>
      <c r="I97" s="534"/>
      <c r="J97" s="534"/>
      <c r="K97" s="534"/>
      <c r="L97" s="534"/>
      <c r="M97" s="534"/>
      <c r="N97" s="534"/>
      <c r="O97" s="534"/>
      <c r="P97" s="534"/>
      <c r="Q97" s="534"/>
      <c r="R97" s="553"/>
      <c r="S97" s="534"/>
      <c r="T97" s="534"/>
      <c r="U97" s="534"/>
      <c r="V97" s="534"/>
      <c r="W97" s="534"/>
      <c r="X97" s="896"/>
      <c r="Y97" s="724"/>
      <c r="Z97" s="724"/>
      <c r="AA97" s="724"/>
      <c r="AB97" s="724"/>
      <c r="AC97" s="724"/>
      <c r="AD97" s="724"/>
    </row>
    <row r="98" spans="1:30" ht="15">
      <c r="A98" s="534"/>
      <c r="B98" s="892"/>
      <c r="C98" s="534"/>
      <c r="D98" s="534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53"/>
      <c r="S98" s="534"/>
      <c r="T98" s="534"/>
      <c r="U98" s="534"/>
      <c r="V98" s="534"/>
      <c r="W98" s="534"/>
      <c r="X98" s="896"/>
      <c r="Y98" s="724"/>
      <c r="Z98" s="724"/>
      <c r="AA98" s="724"/>
      <c r="AB98" s="724"/>
      <c r="AC98" s="724"/>
      <c r="AD98" s="724"/>
    </row>
    <row r="99" spans="1:30" ht="15">
      <c r="A99" s="534"/>
      <c r="B99" s="892"/>
      <c r="C99" s="534"/>
      <c r="D99" s="534"/>
      <c r="E99" s="534"/>
      <c r="F99" s="534"/>
      <c r="G99" s="534"/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53"/>
      <c r="S99" s="534"/>
      <c r="T99" s="534"/>
      <c r="U99" s="534"/>
      <c r="V99" s="534"/>
      <c r="W99" s="534"/>
      <c r="X99" s="896"/>
      <c r="Y99" s="724"/>
      <c r="Z99" s="724"/>
      <c r="AA99" s="724"/>
      <c r="AB99" s="724"/>
      <c r="AC99" s="724"/>
      <c r="AD99" s="724"/>
    </row>
    <row r="100" spans="1:30" ht="15">
      <c r="A100" s="534"/>
      <c r="B100" s="892"/>
      <c r="C100" s="534"/>
      <c r="D100" s="534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53"/>
      <c r="S100" s="534"/>
      <c r="T100" s="534"/>
      <c r="U100" s="534"/>
      <c r="V100" s="534"/>
      <c r="W100" s="534"/>
      <c r="X100" s="896"/>
      <c r="Y100" s="724"/>
      <c r="Z100" s="724"/>
      <c r="AA100" s="724"/>
      <c r="AB100" s="724"/>
      <c r="AC100" s="724"/>
      <c r="AD100" s="724"/>
    </row>
    <row r="101" spans="1:30" ht="15">
      <c r="A101" s="534"/>
      <c r="B101" s="892"/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4"/>
      <c r="N101" s="534"/>
      <c r="O101" s="534"/>
      <c r="P101" s="534"/>
      <c r="Q101" s="534"/>
      <c r="R101" s="553"/>
      <c r="S101" s="534"/>
      <c r="T101" s="534"/>
      <c r="U101" s="534"/>
      <c r="V101" s="534"/>
      <c r="W101" s="534"/>
      <c r="X101" s="896"/>
      <c r="Y101" s="724"/>
      <c r="Z101" s="724"/>
      <c r="AA101" s="724"/>
      <c r="AB101" s="724"/>
      <c r="AC101" s="724"/>
      <c r="AD101" s="724"/>
    </row>
    <row r="102" spans="1:30" ht="15">
      <c r="A102" s="534"/>
      <c r="B102" s="892"/>
      <c r="C102" s="534"/>
      <c r="D102" s="534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53"/>
      <c r="S102" s="534"/>
      <c r="T102" s="534"/>
      <c r="U102" s="534"/>
      <c r="V102" s="534"/>
      <c r="W102" s="534"/>
      <c r="X102" s="896"/>
      <c r="Y102" s="724"/>
      <c r="Z102" s="724"/>
      <c r="AA102" s="724"/>
      <c r="AB102" s="724"/>
      <c r="AC102" s="724"/>
      <c r="AD102" s="724"/>
    </row>
    <row r="103" spans="1:30" ht="15">
      <c r="A103" s="534"/>
      <c r="B103" s="892"/>
      <c r="C103" s="534"/>
      <c r="D103" s="534"/>
      <c r="E103" s="534"/>
      <c r="F103" s="534"/>
      <c r="G103" s="534"/>
      <c r="H103" s="534"/>
      <c r="I103" s="534"/>
      <c r="J103" s="534"/>
      <c r="K103" s="534"/>
      <c r="L103" s="534"/>
      <c r="M103" s="534"/>
      <c r="N103" s="534"/>
      <c r="O103" s="534"/>
      <c r="P103" s="534"/>
      <c r="Q103" s="534"/>
      <c r="R103" s="553"/>
      <c r="S103" s="534"/>
      <c r="T103" s="534"/>
      <c r="U103" s="534"/>
      <c r="V103" s="534"/>
      <c r="W103" s="534"/>
      <c r="X103" s="896"/>
      <c r="Y103" s="724"/>
      <c r="Z103" s="724"/>
      <c r="AA103" s="724"/>
      <c r="AB103" s="724"/>
      <c r="AC103" s="724"/>
      <c r="AD103" s="724"/>
    </row>
    <row r="104" spans="1:30" ht="15">
      <c r="A104" s="534"/>
      <c r="B104" s="892"/>
      <c r="C104" s="534"/>
      <c r="D104" s="534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53"/>
      <c r="S104" s="534"/>
      <c r="T104" s="534"/>
      <c r="U104" s="534"/>
      <c r="V104" s="534"/>
      <c r="W104" s="534"/>
      <c r="X104" s="896"/>
      <c r="Y104" s="724"/>
      <c r="Z104" s="724"/>
      <c r="AA104" s="724"/>
      <c r="AB104" s="724"/>
      <c r="AC104" s="724"/>
      <c r="AD104" s="724"/>
    </row>
    <row r="105" spans="1:30" ht="15">
      <c r="A105" s="534"/>
      <c r="B105" s="892"/>
      <c r="C105" s="534"/>
      <c r="D105" s="534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34"/>
      <c r="P105" s="534"/>
      <c r="Q105" s="534"/>
      <c r="R105" s="553"/>
      <c r="S105" s="534"/>
      <c r="T105" s="534"/>
      <c r="U105" s="534"/>
      <c r="V105" s="534"/>
      <c r="W105" s="534"/>
      <c r="X105" s="896"/>
      <c r="Y105" s="724"/>
      <c r="Z105" s="724"/>
      <c r="AA105" s="724"/>
      <c r="AB105" s="724"/>
      <c r="AC105" s="724"/>
      <c r="AD105" s="724"/>
    </row>
    <row r="106" spans="1:30" ht="15">
      <c r="A106" s="528"/>
      <c r="B106" s="892"/>
      <c r="C106" s="534"/>
      <c r="D106" s="534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53"/>
      <c r="S106" s="534"/>
      <c r="T106" s="534"/>
      <c r="U106" s="534"/>
      <c r="V106" s="534"/>
      <c r="W106" s="534"/>
      <c r="X106" s="896"/>
    </row>
    <row r="107" spans="1:30" ht="15">
      <c r="A107" s="528"/>
      <c r="B107" s="892"/>
      <c r="C107" s="534"/>
      <c r="D107" s="534"/>
      <c r="E107" s="534"/>
      <c r="F107" s="534"/>
      <c r="G107" s="534"/>
      <c r="H107" s="534"/>
      <c r="I107" s="534"/>
      <c r="J107" s="534"/>
      <c r="K107" s="534"/>
      <c r="L107" s="534"/>
      <c r="M107" s="534"/>
      <c r="N107" s="534"/>
      <c r="O107" s="534"/>
      <c r="P107" s="534"/>
      <c r="Q107" s="534"/>
      <c r="R107" s="553"/>
      <c r="S107" s="534"/>
      <c r="T107" s="534"/>
      <c r="U107" s="534"/>
      <c r="V107" s="534"/>
      <c r="W107" s="534"/>
      <c r="X107" s="896"/>
    </row>
    <row r="108" spans="1:30" ht="15">
      <c r="A108" s="528"/>
      <c r="B108" s="892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53"/>
      <c r="S108" s="534"/>
      <c r="T108" s="534"/>
      <c r="U108" s="534"/>
      <c r="V108" s="534"/>
      <c r="W108" s="534"/>
      <c r="X108" s="896"/>
    </row>
    <row r="109" spans="1:30" ht="15">
      <c r="A109" s="528"/>
      <c r="B109" s="892"/>
      <c r="C109" s="534"/>
      <c r="D109" s="534"/>
      <c r="E109" s="534"/>
      <c r="F109" s="534"/>
      <c r="G109" s="534"/>
      <c r="H109" s="534"/>
      <c r="I109" s="534"/>
      <c r="J109" s="534"/>
      <c r="K109" s="534"/>
      <c r="L109" s="534"/>
      <c r="M109" s="534"/>
      <c r="N109" s="534"/>
      <c r="O109" s="534"/>
      <c r="P109" s="534"/>
      <c r="Q109" s="534"/>
      <c r="R109" s="553"/>
      <c r="S109" s="534"/>
      <c r="T109" s="534"/>
      <c r="U109" s="534"/>
      <c r="V109" s="534"/>
      <c r="W109" s="534"/>
      <c r="X109" s="896"/>
    </row>
    <row r="110" spans="1:30" ht="15">
      <c r="A110" s="528"/>
      <c r="B110" s="892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53"/>
      <c r="S110" s="534"/>
      <c r="T110" s="534"/>
      <c r="U110" s="534"/>
      <c r="V110" s="534"/>
      <c r="W110" s="534"/>
      <c r="X110" s="896"/>
    </row>
    <row r="111" spans="1:30" ht="15">
      <c r="A111" s="528"/>
      <c r="B111" s="892"/>
      <c r="C111" s="534"/>
      <c r="D111" s="534"/>
      <c r="E111" s="534"/>
      <c r="F111" s="534"/>
      <c r="G111" s="534"/>
      <c r="H111" s="534"/>
      <c r="I111" s="534"/>
      <c r="J111" s="534"/>
      <c r="K111" s="534"/>
      <c r="L111" s="534"/>
      <c r="M111" s="534"/>
      <c r="N111" s="534"/>
      <c r="O111" s="534"/>
      <c r="P111" s="534"/>
      <c r="Q111" s="534"/>
      <c r="R111" s="553"/>
      <c r="S111" s="534"/>
      <c r="T111" s="534"/>
      <c r="U111" s="534"/>
      <c r="V111" s="534"/>
      <c r="W111" s="534"/>
      <c r="X111" s="896"/>
    </row>
    <row r="112" spans="1:30" ht="15">
      <c r="A112" s="528"/>
      <c r="B112" s="892"/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53"/>
      <c r="S112" s="534"/>
      <c r="T112" s="534"/>
      <c r="U112" s="534"/>
      <c r="V112" s="534"/>
      <c r="W112" s="534"/>
      <c r="X112" s="896"/>
    </row>
    <row r="113" spans="1:24" ht="15">
      <c r="A113" s="528"/>
      <c r="B113" s="892"/>
      <c r="C113" s="534"/>
      <c r="D113" s="534"/>
      <c r="E113" s="534"/>
      <c r="F113" s="534"/>
      <c r="G113" s="534"/>
      <c r="H113" s="534"/>
      <c r="I113" s="534"/>
      <c r="J113" s="534"/>
      <c r="K113" s="534"/>
      <c r="L113" s="534"/>
      <c r="M113" s="534"/>
      <c r="N113" s="534"/>
      <c r="O113" s="534"/>
      <c r="P113" s="534"/>
      <c r="Q113" s="534"/>
      <c r="R113" s="553"/>
      <c r="S113" s="534"/>
      <c r="T113" s="534"/>
      <c r="U113" s="534"/>
      <c r="V113" s="534"/>
      <c r="W113" s="534"/>
      <c r="X113" s="896"/>
    </row>
    <row r="114" spans="1:24" ht="15">
      <c r="A114" s="528"/>
      <c r="B114" s="892"/>
      <c r="C114" s="534"/>
      <c r="D114" s="534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34"/>
      <c r="P114" s="534"/>
      <c r="Q114" s="534"/>
      <c r="R114" s="553"/>
      <c r="S114" s="534"/>
      <c r="T114" s="534"/>
      <c r="U114" s="534"/>
      <c r="V114" s="534"/>
      <c r="W114" s="534"/>
      <c r="X114" s="896"/>
    </row>
    <row r="115" spans="1:24" ht="15.75">
      <c r="A115" s="528"/>
      <c r="B115" s="892"/>
      <c r="C115" s="534"/>
      <c r="D115" s="536"/>
      <c r="E115" s="536"/>
      <c r="F115" s="536"/>
      <c r="G115" s="536"/>
      <c r="H115" s="536"/>
      <c r="I115" s="536"/>
      <c r="J115" s="536"/>
      <c r="K115" s="536"/>
      <c r="L115" s="536"/>
      <c r="M115" s="536"/>
      <c r="N115" s="536"/>
      <c r="O115" s="536"/>
      <c r="P115" s="536"/>
      <c r="Q115" s="534"/>
      <c r="R115" s="534"/>
      <c r="S115" s="534"/>
      <c r="T115" s="534"/>
      <c r="U115" s="534"/>
      <c r="V115" s="534"/>
      <c r="W115" s="534"/>
      <c r="X115" s="896"/>
    </row>
    <row r="116" spans="1:24" ht="15.75">
      <c r="A116" s="528"/>
      <c r="B116" s="892"/>
      <c r="C116" s="534"/>
      <c r="D116" s="528"/>
      <c r="E116" s="528"/>
      <c r="F116" s="528"/>
      <c r="G116" s="528"/>
      <c r="H116" s="528"/>
      <c r="I116" s="528"/>
      <c r="J116" s="528"/>
      <c r="K116" s="528"/>
      <c r="L116" s="528"/>
      <c r="M116" s="528"/>
      <c r="N116" s="528"/>
      <c r="O116" s="528"/>
      <c r="P116" s="534"/>
      <c r="Q116" s="536"/>
      <c r="R116" s="536"/>
      <c r="S116" s="534"/>
      <c r="T116" s="534"/>
      <c r="U116" s="534"/>
      <c r="V116" s="534"/>
      <c r="W116" s="534"/>
      <c r="X116" s="896"/>
    </row>
    <row r="117" spans="1:24" ht="15.75" thickBot="1">
      <c r="A117" s="528"/>
      <c r="B117" s="918"/>
      <c r="C117" s="919"/>
      <c r="D117" s="919"/>
      <c r="E117" s="919"/>
      <c r="F117" s="919"/>
      <c r="G117" s="919"/>
      <c r="H117" s="919"/>
      <c r="I117" s="919"/>
      <c r="J117" s="919"/>
      <c r="K117" s="919"/>
      <c r="L117" s="919"/>
      <c r="M117" s="919"/>
      <c r="N117" s="919"/>
      <c r="O117" s="919"/>
      <c r="P117" s="919"/>
      <c r="Q117" s="919"/>
      <c r="R117" s="919"/>
      <c r="S117" s="919"/>
      <c r="T117" s="919"/>
      <c r="U117" s="919"/>
      <c r="V117" s="919"/>
      <c r="W117" s="919"/>
      <c r="X117" s="920"/>
    </row>
    <row r="118" spans="1:24" ht="15" customHeight="1">
      <c r="A118" s="921"/>
      <c r="B118" s="922"/>
      <c r="C118" s="923"/>
      <c r="D118" s="924" t="s">
        <v>663</v>
      </c>
      <c r="E118" s="923"/>
      <c r="F118" s="925"/>
      <c r="G118" s="926"/>
      <c r="H118" s="927" t="s">
        <v>664</v>
      </c>
      <c r="I118" s="928"/>
      <c r="J118" s="927"/>
      <c r="K118" s="927"/>
      <c r="L118" s="927" t="s">
        <v>756</v>
      </c>
      <c r="M118" s="926"/>
      <c r="N118" s="925"/>
      <c r="O118" s="926"/>
      <c r="P118" s="926" t="s">
        <v>665</v>
      </c>
      <c r="Q118" s="929"/>
      <c r="R118" s="927"/>
      <c r="S118" s="927" t="s">
        <v>756</v>
      </c>
      <c r="T118" s="927"/>
      <c r="U118" s="928"/>
      <c r="V118" s="927"/>
      <c r="W118" s="927" t="s">
        <v>667</v>
      </c>
      <c r="X118" s="930"/>
    </row>
    <row r="119" spans="1:24" ht="15" customHeight="1">
      <c r="A119" s="528"/>
      <c r="B119" s="931"/>
      <c r="C119" s="932"/>
      <c r="D119" s="933" t="s">
        <v>92</v>
      </c>
      <c r="E119" s="932"/>
      <c r="F119" s="934"/>
      <c r="G119" s="935"/>
      <c r="H119" s="936" t="s">
        <v>758</v>
      </c>
      <c r="I119" s="937"/>
      <c r="J119" s="936"/>
      <c r="K119" s="936"/>
      <c r="L119" s="936"/>
      <c r="M119" s="935"/>
      <c r="N119" s="938"/>
      <c r="O119" s="935"/>
      <c r="P119" s="935"/>
      <c r="Q119" s="938"/>
      <c r="R119" s="936"/>
      <c r="S119" s="936"/>
      <c r="T119" s="936"/>
      <c r="U119" s="937"/>
      <c r="V119" s="936"/>
      <c r="W119" s="939" t="s">
        <v>669</v>
      </c>
      <c r="X119" s="940"/>
    </row>
    <row r="120" spans="1:24" ht="15" customHeight="1" thickBot="1">
      <c r="A120" s="528"/>
      <c r="B120" s="918"/>
      <c r="C120" s="919"/>
      <c r="D120" s="919"/>
      <c r="E120" s="919"/>
      <c r="F120" s="941"/>
      <c r="G120" s="942"/>
      <c r="H120" s="919"/>
      <c r="I120" s="941"/>
      <c r="J120" s="919"/>
      <c r="K120" s="919"/>
      <c r="L120" s="919"/>
      <c r="M120" s="919"/>
      <c r="N120" s="941"/>
      <c r="O120" s="919"/>
      <c r="P120" s="919"/>
      <c r="Q120" s="941"/>
      <c r="R120" s="919"/>
      <c r="S120" s="919"/>
      <c r="T120" s="919"/>
      <c r="U120" s="941"/>
      <c r="V120" s="919"/>
      <c r="W120" s="919"/>
      <c r="X120" s="920"/>
    </row>
  </sheetData>
  <protectedRanges>
    <protectedRange sqref="L2:L3 R7:U7 Q8:W8 K6 T3 U3:U5" name="Titre_1"/>
  </protectedRanges>
  <phoneticPr fontId="12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oleObject progId="Equation.3" shapeId="87117" r:id="rId4"/>
    <oleObject progId="Equation.3" shapeId="87118" r:id="rId5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9">
    <outlinePr summaryBelow="0" summaryRight="0"/>
  </sheetPr>
  <dimension ref="A3:L218"/>
  <sheetViews>
    <sheetView workbookViewId="0">
      <selection activeCell="I225" sqref="I225"/>
    </sheetView>
  </sheetViews>
  <sheetFormatPr defaultColWidth="11.42578125" defaultRowHeight="12.75" outlineLevelRow="1"/>
  <cols>
    <col min="1" max="1" width="11.42578125" style="91" customWidth="1"/>
    <col min="2" max="2" width="10.7109375" style="91" bestFit="1" customWidth="1"/>
    <col min="3" max="3" width="12.42578125" style="91" bestFit="1" customWidth="1"/>
    <col min="4" max="4" width="11.42578125" style="91" customWidth="1"/>
    <col min="5" max="5" width="12.42578125" style="91" bestFit="1" customWidth="1"/>
    <col min="6" max="6" width="13" style="91" customWidth="1"/>
    <col min="7" max="16384" width="11.42578125" style="91"/>
  </cols>
  <sheetData>
    <row r="3" spans="2:9">
      <c r="B3" s="89" t="s">
        <v>281</v>
      </c>
      <c r="C3" s="89"/>
      <c r="D3" s="89"/>
      <c r="E3" s="89"/>
      <c r="F3" s="89"/>
      <c r="G3" s="89"/>
      <c r="H3" s="89"/>
      <c r="I3" s="89"/>
    </row>
    <row r="4" spans="2:9" outlineLevel="1"/>
    <row r="5" spans="2:9" ht="13.5" outlineLevel="1" thickBot="1">
      <c r="B5" s="232" t="s">
        <v>619</v>
      </c>
      <c r="C5" s="231"/>
      <c r="D5" s="231"/>
      <c r="E5" s="231"/>
      <c r="F5" s="231"/>
      <c r="G5" s="231"/>
      <c r="H5" s="231"/>
      <c r="I5" s="231"/>
    </row>
    <row r="6" spans="2:9" outlineLevel="1"/>
    <row r="7" spans="2:9" outlineLevel="1">
      <c r="D7" s="332" t="s">
        <v>619</v>
      </c>
      <c r="F7" s="332" t="s">
        <v>620</v>
      </c>
      <c r="G7" s="332" t="s">
        <v>620</v>
      </c>
    </row>
    <row r="8" spans="2:9" outlineLevel="1">
      <c r="D8" s="506" t="s">
        <v>465</v>
      </c>
      <c r="F8" s="506" t="s">
        <v>465</v>
      </c>
      <c r="G8" s="506" t="s">
        <v>465</v>
      </c>
    </row>
    <row r="9" spans="2:9" outlineLevel="1">
      <c r="B9" s="91" t="s">
        <v>316</v>
      </c>
      <c r="C9" s="91" t="s">
        <v>86</v>
      </c>
      <c r="D9" s="511">
        <v>85.5</v>
      </c>
      <c r="F9" s="511">
        <v>54.42</v>
      </c>
      <c r="G9" s="511">
        <v>54.42</v>
      </c>
    </row>
    <row r="10" spans="2:9" outlineLevel="1">
      <c r="B10" s="91" t="s">
        <v>458</v>
      </c>
      <c r="C10" s="91" t="s">
        <v>213</v>
      </c>
      <c r="D10" s="511">
        <v>13.05</v>
      </c>
      <c r="F10" s="511">
        <v>8.2550000000000008</v>
      </c>
      <c r="G10" s="511">
        <v>13</v>
      </c>
    </row>
    <row r="11" spans="2:9" outlineLevel="1">
      <c r="B11" s="91" t="s">
        <v>461</v>
      </c>
      <c r="C11" s="91" t="s">
        <v>96</v>
      </c>
      <c r="D11" s="511">
        <v>77.8</v>
      </c>
      <c r="F11" s="511">
        <v>78.180000000000007</v>
      </c>
      <c r="G11" s="511">
        <v>300</v>
      </c>
    </row>
    <row r="12" spans="2:9" outlineLevel="1">
      <c r="B12" s="91" t="s">
        <v>460</v>
      </c>
      <c r="C12" s="91" t="s">
        <v>213</v>
      </c>
      <c r="D12" s="511">
        <v>2.2000000000000002</v>
      </c>
      <c r="F12" s="511">
        <v>1.5</v>
      </c>
      <c r="G12" s="511">
        <v>1.5</v>
      </c>
    </row>
    <row r="13" spans="2:9" outlineLevel="1">
      <c r="B13" s="91" t="s">
        <v>462</v>
      </c>
      <c r="C13" s="91" t="s">
        <v>96</v>
      </c>
      <c r="D13" s="512">
        <f>[9]!T2_turb(11,D10,D11,D12,D14)</f>
        <v>49.006107542033732</v>
      </c>
      <c r="F13" s="512">
        <f>[9]!T2_turb(11,F10,F11,F12,F14/100)</f>
        <v>78.223745677144805</v>
      </c>
      <c r="G13" s="512">
        <f>[9]!T2_turb(11,G10,G11,G12,G14/100)</f>
        <v>299.93353041117587</v>
      </c>
    </row>
    <row r="14" spans="2:9" outlineLevel="1">
      <c r="B14" s="91" t="s">
        <v>626</v>
      </c>
      <c r="C14" s="91" t="s">
        <v>209</v>
      </c>
      <c r="D14" s="1070">
        <v>0.73</v>
      </c>
      <c r="F14" s="1072">
        <f>(0.321*F29^4-1.6098*F29^3+1.316*F29^2+0.9448*F29)*($D$14/0.97)</f>
        <v>0.70310666559867141</v>
      </c>
      <c r="G14" s="1072">
        <f>(0.321*G29^4-1.6098*G29^3+1.316*G29^2+0.9448*G29)*($D$14/0.97)</f>
        <v>0.44877494319821531</v>
      </c>
    </row>
    <row r="15" spans="2:9" outlineLevel="1">
      <c r="B15" s="91" t="s">
        <v>420</v>
      </c>
      <c r="C15" s="91" t="s">
        <v>226</v>
      </c>
      <c r="D15" s="1073">
        <f>+D9*(D19-D20)</f>
        <v>13036.076127999762</v>
      </c>
      <c r="F15" s="1073">
        <f>+F9*(F19-F20)</f>
        <v>77.543732266607435</v>
      </c>
      <c r="G15" s="1073">
        <f>+G9*(G19-G20)</f>
        <v>220.94714674766541</v>
      </c>
    </row>
    <row r="16" spans="2:9" outlineLevel="1">
      <c r="B16" s="91" t="s">
        <v>628</v>
      </c>
      <c r="C16" s="91" t="s">
        <v>221</v>
      </c>
      <c r="D16" s="513">
        <v>2000</v>
      </c>
      <c r="F16" s="513">
        <v>1680.4730354892631</v>
      </c>
      <c r="G16" s="513">
        <v>2000</v>
      </c>
    </row>
    <row r="17" spans="2:7" outlineLevel="1">
      <c r="B17" s="91" t="s">
        <v>627</v>
      </c>
      <c r="C17" s="91" t="s">
        <v>377</v>
      </c>
      <c r="D17" s="512">
        <v>25.5</v>
      </c>
      <c r="F17" s="512">
        <v>25.5</v>
      </c>
      <c r="G17" s="512">
        <v>25.5</v>
      </c>
    </row>
    <row r="18" spans="2:7" outlineLevel="1">
      <c r="B18" s="526" t="s">
        <v>623</v>
      </c>
      <c r="D18" s="522">
        <f>D9*D11^0.5/D10</f>
        <v>57.789029565903299</v>
      </c>
      <c r="F18" s="522">
        <f>+$D$18</f>
        <v>57.789029565903299</v>
      </c>
      <c r="G18" s="522">
        <f>+$D$18</f>
        <v>57.789029565903299</v>
      </c>
    </row>
    <row r="19" spans="2:7" outlineLevel="1">
      <c r="B19" s="91" t="s">
        <v>601</v>
      </c>
      <c r="D19" s="1071">
        <f>[9]!H_(11,D10,D11)</f>
        <v>422.47297468433658</v>
      </c>
      <c r="F19" s="514">
        <f>[9]!H_(11,F10,F11)</f>
        <v>423.28588177263975</v>
      </c>
      <c r="G19" s="514">
        <f>[9]!H_(11,G10,G11)</f>
        <v>1577.3909298783046</v>
      </c>
    </row>
    <row r="20" spans="2:7" outlineLevel="1">
      <c r="B20" s="91" t="s">
        <v>602</v>
      </c>
      <c r="D20" s="1071">
        <f>[9]!H_(11,D12,D13)</f>
        <v>270.0042480410645</v>
      </c>
      <c r="F20" s="514">
        <f>[9]!H_(11,F12,F13)</f>
        <v>421.86096938258817</v>
      </c>
      <c r="G20" s="514">
        <f>[9]!H_(11,G12,G13)</f>
        <v>1573.3308941056537</v>
      </c>
    </row>
    <row r="21" spans="2:7" outlineLevel="1">
      <c r="B21" s="91" t="s">
        <v>603</v>
      </c>
      <c r="D21" s="1071">
        <f>[9]!S_(11,D10,D11)</f>
        <v>19.258215027248038</v>
      </c>
      <c r="F21" s="514">
        <f>[9]!S_(11,F10,F11)</f>
        <v>20.238081019840216</v>
      </c>
      <c r="G21" s="514">
        <f>[9]!S_(11,G10,G11)</f>
        <v>26.285246564104739</v>
      </c>
    </row>
    <row r="22" spans="2:7" outlineLevel="1">
      <c r="B22" s="91" t="s">
        <v>604</v>
      </c>
      <c r="D22" s="1071">
        <f>[10]!HeCalc(2,0,1,D12*10^5,8,D21*1000,1)</f>
        <v>38.196467453647408</v>
      </c>
      <c r="F22" s="135">
        <f>[10]!HeCalc(2,0,1,F12*10^5,8,F21*1000,1)</f>
        <v>39.540978564400405</v>
      </c>
      <c r="G22" s="135">
        <f>[10]!HeCalc(2,0,1,G12*10^5,8,G21*1000,1)</f>
        <v>126.50772049015001</v>
      </c>
    </row>
    <row r="23" spans="2:7" outlineLevel="1">
      <c r="B23" s="91" t="s">
        <v>605</v>
      </c>
      <c r="D23" s="1071">
        <f>[9]!H_(11,D12,D22)</f>
        <v>213.61170530999132</v>
      </c>
      <c r="F23" s="514">
        <f>[9]!H_(11,F12,F22)</f>
        <v>220.62639072110741</v>
      </c>
      <c r="G23" s="514">
        <f>[9]!H_(11,G12,G22)</f>
        <v>672.69786727065264</v>
      </c>
    </row>
    <row r="24" spans="2:7" outlineLevel="1">
      <c r="B24" s="91" t="s">
        <v>606</v>
      </c>
      <c r="D24" s="1071">
        <f>D19-D23</f>
        <v>208.86126937434526</v>
      </c>
      <c r="F24" s="514">
        <f>F19-F23</f>
        <v>202.65949105153234</v>
      </c>
      <c r="G24" s="514">
        <f>G19-G23</f>
        <v>904.693062607652</v>
      </c>
    </row>
    <row r="25" spans="2:7" outlineLevel="1">
      <c r="B25" s="515" t="s">
        <v>917</v>
      </c>
      <c r="C25" s="91" t="s">
        <v>113</v>
      </c>
      <c r="D25" s="1074">
        <f>(2*52.7%*D24*1000*D14)^0.5</f>
        <v>400.87658684688574</v>
      </c>
      <c r="F25" s="1074">
        <f>PI()*$D$26*F16</f>
        <v>336.83114737758063</v>
      </c>
      <c r="G25" s="1074">
        <f>PI()*$D$26*G16</f>
        <v>400.87658684688574</v>
      </c>
    </row>
    <row r="26" spans="2:7" outlineLevel="1">
      <c r="B26" s="515" t="s">
        <v>914</v>
      </c>
      <c r="D26" s="1075">
        <f>D25/PI()/D16</f>
        <v>6.3801490366489341E-2</v>
      </c>
      <c r="F26" s="514"/>
      <c r="G26" s="514"/>
    </row>
    <row r="27" spans="2:7" outlineLevel="1">
      <c r="B27" s="91" t="s">
        <v>600</v>
      </c>
      <c r="D27" s="514">
        <f>(2000*D24)^0.5</f>
        <v>646.31458187843054</v>
      </c>
      <c r="F27" s="514">
        <f>(2000*F24)^0.5</f>
        <v>636.64666974944953</v>
      </c>
      <c r="G27" s="514">
        <f>(2000*G24)^0.5</f>
        <v>1345.1342405928503</v>
      </c>
    </row>
    <row r="28" spans="2:7" outlineLevel="1">
      <c r="B28" s="91" t="s">
        <v>591</v>
      </c>
      <c r="D28" s="218">
        <f>D25/D27</f>
        <v>0.62024994961708779</v>
      </c>
      <c r="F28" s="218">
        <f>F25/F27</f>
        <v>0.52907077564725125</v>
      </c>
      <c r="G28" s="218">
        <f>G25/G27</f>
        <v>0.29801976245151907</v>
      </c>
    </row>
    <row r="29" spans="2:7" outlineLevel="1">
      <c r="B29" s="91" t="s">
        <v>916</v>
      </c>
      <c r="D29" s="92">
        <f>D28/$D$28</f>
        <v>1</v>
      </c>
      <c r="F29" s="1080">
        <f>F28/$D$28</f>
        <v>0.85299608000592964</v>
      </c>
      <c r="G29" s="1080">
        <f>G28/$D$28</f>
        <v>0.4804833319785064</v>
      </c>
    </row>
    <row r="30" spans="2:7" outlineLevel="1">
      <c r="B30" s="91" t="s">
        <v>592</v>
      </c>
      <c r="D30" s="1072">
        <f>(0.321*D29^4-1.6098*D29^3+1.316*D29^2+0.9448*D29)*($D$14/0.97)</f>
        <v>0.73150515463917531</v>
      </c>
      <c r="F30" s="1072">
        <f>(0.321*F29^4-1.6098*F29^3+1.316*F29^2+0.9448*F29)*($D$14/0.97)</f>
        <v>0.70310666559867141</v>
      </c>
      <c r="G30" s="1072">
        <f>(0.321*G29^4-1.6098*G29^3+1.316*G29^2+0.9448*G29)*($D$14/0.97)</f>
        <v>0.44877494319821531</v>
      </c>
    </row>
    <row r="31" spans="2:7" outlineLevel="1">
      <c r="D31" s="1072"/>
      <c r="F31" s="1072"/>
      <c r="G31" s="1072"/>
    </row>
    <row r="32" spans="2:7" outlineLevel="1">
      <c r="D32" s="1072"/>
      <c r="F32" s="1072"/>
      <c r="G32" s="1072"/>
    </row>
    <row r="33" spans="2:10" outlineLevel="1">
      <c r="D33" s="1072"/>
      <c r="F33" s="1072"/>
      <c r="G33" s="1072"/>
    </row>
    <row r="34" spans="2:10" outlineLevel="1">
      <c r="F34" s="507"/>
      <c r="G34" s="507"/>
    </row>
    <row r="35" spans="2:10">
      <c r="F35" s="507"/>
      <c r="G35" s="507"/>
    </row>
    <row r="36" spans="2:10">
      <c r="B36" s="89" t="s">
        <v>622</v>
      </c>
      <c r="C36" s="89"/>
      <c r="D36" s="89"/>
      <c r="E36" s="89"/>
      <c r="F36" s="89"/>
      <c r="G36" s="89"/>
      <c r="H36" s="89"/>
      <c r="I36" s="89"/>
    </row>
    <row r="37" spans="2:10" outlineLevel="1"/>
    <row r="38" spans="2:10" ht="13.5" outlineLevel="1" thickBot="1"/>
    <row r="39" spans="2:10" outlineLevel="1">
      <c r="B39" s="516"/>
      <c r="C39" s="401"/>
      <c r="D39" s="401"/>
      <c r="E39" s="401"/>
      <c r="F39" s="517"/>
    </row>
    <row r="40" spans="2:10" outlineLevel="1">
      <c r="B40" s="518"/>
      <c r="C40" s="94"/>
      <c r="D40" s="94"/>
      <c r="E40" s="94" t="s">
        <v>597</v>
      </c>
      <c r="F40" s="345"/>
    </row>
    <row r="41" spans="2:10" outlineLevel="1">
      <c r="B41" s="518"/>
      <c r="C41" s="94"/>
      <c r="D41" s="94"/>
      <c r="E41" s="94" t="s">
        <v>598</v>
      </c>
      <c r="F41" s="345"/>
    </row>
    <row r="42" spans="2:10" outlineLevel="1">
      <c r="B42" s="518"/>
      <c r="D42" s="94"/>
      <c r="E42" s="519" t="s">
        <v>599</v>
      </c>
      <c r="F42" s="345"/>
    </row>
    <row r="43" spans="2:10" outlineLevel="1">
      <c r="B43" s="518"/>
      <c r="D43" s="94"/>
      <c r="E43" s="94"/>
      <c r="F43" s="345"/>
    </row>
    <row r="44" spans="2:10" outlineLevel="1">
      <c r="B44" s="518"/>
      <c r="D44" s="94"/>
      <c r="E44" s="94"/>
      <c r="F44" s="345"/>
    </row>
    <row r="45" spans="2:10" ht="13.5" outlineLevel="1" thickBot="1">
      <c r="B45" s="520"/>
      <c r="C45" s="231"/>
      <c r="D45" s="231"/>
      <c r="E45" s="231"/>
      <c r="F45" s="521"/>
    </row>
    <row r="46" spans="2:10" outlineLevel="1"/>
    <row r="47" spans="2:10" outlineLevel="1"/>
    <row r="48" spans="2:10" outlineLevel="1">
      <c r="B48" s="507" t="s">
        <v>588</v>
      </c>
      <c r="C48" s="507"/>
      <c r="D48" s="507"/>
      <c r="E48" s="507"/>
      <c r="F48" s="507"/>
      <c r="G48" s="507"/>
      <c r="H48" s="507"/>
      <c r="I48" s="507" t="s">
        <v>589</v>
      </c>
      <c r="J48" s="507">
        <v>0.64</v>
      </c>
    </row>
    <row r="49" spans="1:10" outlineLevel="1">
      <c r="A49" s="94"/>
      <c r="B49" s="1076"/>
      <c r="C49" s="1076"/>
      <c r="D49" s="1076"/>
      <c r="E49" s="507"/>
      <c r="F49" s="507"/>
      <c r="G49" s="507"/>
      <c r="H49" s="507"/>
      <c r="I49" s="507" t="s">
        <v>590</v>
      </c>
      <c r="J49" s="507">
        <v>0.8</v>
      </c>
    </row>
    <row r="50" spans="1:10" outlineLevel="1">
      <c r="A50" s="94"/>
      <c r="B50" s="1077" t="s">
        <v>915</v>
      </c>
      <c r="C50" s="1078">
        <v>0.8</v>
      </c>
      <c r="D50" s="1076"/>
      <c r="E50" s="507"/>
      <c r="F50" s="507"/>
      <c r="G50" s="507"/>
      <c r="H50" s="507"/>
      <c r="I50" s="507"/>
      <c r="J50" s="507"/>
    </row>
    <row r="51" spans="1:10" outlineLevel="1">
      <c r="A51" s="94"/>
      <c r="B51" s="94">
        <v>0</v>
      </c>
      <c r="C51" s="472">
        <f t="shared" ref="C51:C81" si="0">(0.321*B51^4-1.6098*B51^3+1.316*B51^2+0.9448*B51)*$D$14/0.97215493</f>
        <v>0</v>
      </c>
      <c r="D51" s="1076"/>
      <c r="E51" s="507"/>
      <c r="F51" s="507"/>
      <c r="G51" s="507"/>
      <c r="H51" s="507"/>
      <c r="I51" s="507"/>
      <c r="J51" s="507"/>
    </row>
    <row r="52" spans="1:10" outlineLevel="1">
      <c r="A52" s="94"/>
      <c r="B52" s="94">
        <f t="shared" ref="B52:B81" si="1">B51+0.05</f>
        <v>0.05</v>
      </c>
      <c r="C52" s="1079">
        <f t="shared" si="0"/>
        <v>3.7793842502552556E-2</v>
      </c>
      <c r="D52" s="1076"/>
      <c r="E52" s="507"/>
      <c r="F52" s="507"/>
      <c r="G52" s="507"/>
      <c r="H52" s="507"/>
      <c r="I52" s="507"/>
      <c r="J52" s="507"/>
    </row>
    <row r="53" spans="1:10" outlineLevel="1">
      <c r="A53" s="94"/>
      <c r="B53" s="94">
        <f t="shared" si="1"/>
        <v>0.1</v>
      </c>
      <c r="C53" s="1079">
        <f t="shared" si="0"/>
        <v>7.964314803197059E-2</v>
      </c>
      <c r="D53" s="1076"/>
      <c r="E53" s="507"/>
      <c r="F53" s="507"/>
      <c r="G53" s="507"/>
      <c r="H53" s="507"/>
      <c r="I53" s="507"/>
      <c r="J53" s="507"/>
    </row>
    <row r="54" spans="1:10" outlineLevel="1">
      <c r="A54" s="94"/>
      <c r="B54" s="94">
        <f t="shared" si="1"/>
        <v>0.15000000000000002</v>
      </c>
      <c r="C54" s="1079">
        <f t="shared" si="0"/>
        <v>0.12469554087690531</v>
      </c>
      <c r="D54" s="1076"/>
      <c r="E54" s="507"/>
      <c r="F54" s="507"/>
      <c r="G54" s="507"/>
      <c r="H54" s="507"/>
      <c r="I54" s="507"/>
      <c r="J54" s="507"/>
    </row>
    <row r="55" spans="1:10" outlineLevel="1">
      <c r="A55" s="94"/>
      <c r="B55" s="94">
        <f t="shared" si="1"/>
        <v>0.2</v>
      </c>
      <c r="C55" s="1079">
        <f t="shared" si="0"/>
        <v>0.17213480159998779</v>
      </c>
      <c r="D55" s="1076"/>
      <c r="E55" s="507"/>
      <c r="F55" s="507"/>
      <c r="G55" s="507"/>
      <c r="H55" s="507"/>
      <c r="I55" s="507"/>
      <c r="J55" s="507"/>
    </row>
    <row r="56" spans="1:10" outlineLevel="1">
      <c r="A56" s="94"/>
      <c r="B56" s="94">
        <f t="shared" si="1"/>
        <v>0.25</v>
      </c>
      <c r="C56" s="1079">
        <f t="shared" si="0"/>
        <v>0.22118086703782905</v>
      </c>
      <c r="D56" s="1076"/>
      <c r="E56" s="507"/>
      <c r="F56" s="507"/>
      <c r="G56" s="507"/>
      <c r="H56" s="507"/>
      <c r="I56" s="507"/>
      <c r="J56" s="507"/>
    </row>
    <row r="57" spans="1:10" outlineLevel="1">
      <c r="A57" s="94"/>
      <c r="B57" s="94">
        <f t="shared" si="1"/>
        <v>0.3</v>
      </c>
      <c r="C57" s="1079">
        <f t="shared" si="0"/>
        <v>0.27108983030102002</v>
      </c>
      <c r="D57" s="1076"/>
      <c r="E57" s="507"/>
      <c r="F57" s="507"/>
      <c r="G57" s="507"/>
      <c r="H57" s="507"/>
      <c r="I57" s="507"/>
      <c r="J57" s="507"/>
    </row>
    <row r="58" spans="1:10" outlineLevel="1">
      <c r="A58" s="94"/>
      <c r="B58" s="94">
        <f t="shared" si="1"/>
        <v>0.35</v>
      </c>
      <c r="C58" s="1079">
        <f t="shared" si="0"/>
        <v>0.32115394077413151</v>
      </c>
      <c r="D58" s="1076"/>
      <c r="E58" s="507"/>
      <c r="F58" s="507"/>
      <c r="G58" s="507"/>
      <c r="H58" s="507"/>
      <c r="I58" s="507"/>
      <c r="J58" s="507"/>
    </row>
    <row r="59" spans="1:10" outlineLevel="1">
      <c r="A59" s="94"/>
      <c r="B59" s="94">
        <f t="shared" si="1"/>
        <v>0.39999999999999997</v>
      </c>
      <c r="C59" s="1079">
        <f t="shared" si="0"/>
        <v>0.37070160411571434</v>
      </c>
      <c r="D59" s="1076"/>
      <c r="E59" s="507"/>
      <c r="F59" s="507"/>
      <c r="G59" s="507"/>
      <c r="H59" s="507"/>
      <c r="I59" s="507"/>
      <c r="J59" s="507"/>
    </row>
    <row r="60" spans="1:10" outlineLevel="1">
      <c r="A60" s="94"/>
      <c r="B60" s="94">
        <f t="shared" si="1"/>
        <v>0.44999999999999996</v>
      </c>
      <c r="C60" s="1079">
        <f t="shared" si="0"/>
        <v>0.41909738225829907</v>
      </c>
      <c r="D60" s="1076"/>
      <c r="E60" s="507"/>
      <c r="F60" s="507"/>
      <c r="G60" s="507"/>
      <c r="H60" s="507"/>
      <c r="I60" s="507"/>
      <c r="J60" s="507"/>
    </row>
    <row r="61" spans="1:10" outlineLevel="1">
      <c r="A61" s="94"/>
      <c r="B61" s="94">
        <f t="shared" si="1"/>
        <v>0.49999999999999994</v>
      </c>
      <c r="C61" s="1079">
        <f t="shared" si="0"/>
        <v>0.46574199340839634</v>
      </c>
      <c r="D61" s="1076"/>
      <c r="E61" s="507"/>
      <c r="F61" s="507"/>
      <c r="G61" s="507"/>
      <c r="H61" s="507"/>
      <c r="I61" s="507"/>
      <c r="J61" s="507"/>
    </row>
    <row r="62" spans="1:10" outlineLevel="1">
      <c r="A62" s="94"/>
      <c r="B62" s="94">
        <f t="shared" si="1"/>
        <v>0.54999999999999993</v>
      </c>
      <c r="C62" s="1079">
        <f t="shared" si="0"/>
        <v>0.5100723120464965</v>
      </c>
      <c r="D62" s="1076"/>
      <c r="E62" s="507"/>
      <c r="F62" s="507"/>
      <c r="G62" s="507"/>
      <c r="H62" s="507"/>
      <c r="I62" s="507"/>
      <c r="J62" s="507"/>
    </row>
    <row r="63" spans="1:10" outlineLevel="1">
      <c r="A63" s="94"/>
      <c r="B63" s="94">
        <f t="shared" si="1"/>
        <v>0.6</v>
      </c>
      <c r="C63" s="1079">
        <f t="shared" si="0"/>
        <v>0.55156136892707008</v>
      </c>
      <c r="D63" s="1076"/>
      <c r="E63" s="507"/>
      <c r="F63" s="507"/>
      <c r="G63" s="507"/>
      <c r="H63" s="507"/>
      <c r="I63" s="507"/>
      <c r="J63" s="507"/>
    </row>
    <row r="64" spans="1:10" outlineLevel="1">
      <c r="A64" s="94"/>
      <c r="B64" s="94">
        <f t="shared" si="1"/>
        <v>0.65</v>
      </c>
      <c r="C64" s="1079">
        <f t="shared" si="0"/>
        <v>0.58971835107856729</v>
      </c>
      <c r="D64" s="1076"/>
      <c r="E64" s="507"/>
      <c r="F64" s="507"/>
      <c r="G64" s="507"/>
      <c r="H64" s="507"/>
      <c r="I64" s="507"/>
      <c r="J64" s="507"/>
    </row>
    <row r="65" spans="1:10" outlineLevel="1">
      <c r="A65" s="94"/>
      <c r="B65" s="94">
        <f t="shared" si="1"/>
        <v>0.70000000000000007</v>
      </c>
      <c r="C65" s="1079">
        <f t="shared" si="0"/>
        <v>0.62408860180341841</v>
      </c>
      <c r="D65" s="1076"/>
      <c r="E65" s="507"/>
      <c r="F65" s="507"/>
      <c r="G65" s="507"/>
      <c r="H65" s="507"/>
      <c r="I65" s="507"/>
      <c r="J65" s="507"/>
    </row>
    <row r="66" spans="1:10" outlineLevel="1">
      <c r="A66" s="94"/>
      <c r="B66" s="94">
        <f t="shared" si="1"/>
        <v>0.75000000000000011</v>
      </c>
      <c r="C66" s="1079">
        <f t="shared" si="0"/>
        <v>0.65425362067803339</v>
      </c>
      <c r="D66" s="1076"/>
      <c r="E66" s="507"/>
      <c r="F66" s="507"/>
      <c r="G66" s="507"/>
      <c r="H66" s="507"/>
      <c r="I66" s="507"/>
      <c r="J66" s="507"/>
    </row>
    <row r="67" spans="1:10" outlineLevel="1">
      <c r="A67" s="94"/>
      <c r="B67" s="94">
        <f t="shared" si="1"/>
        <v>0.80000000000000016</v>
      </c>
      <c r="C67" s="1079">
        <f t="shared" si="0"/>
        <v>0.67983106355280232</v>
      </c>
      <c r="D67" s="1076"/>
      <c r="E67" s="507"/>
      <c r="F67" s="507"/>
      <c r="G67" s="507"/>
      <c r="H67" s="507"/>
      <c r="I67" s="507"/>
      <c r="J67" s="507"/>
    </row>
    <row r="68" spans="1:10" outlineLevel="1">
      <c r="A68" s="94"/>
      <c r="B68" s="94">
        <f t="shared" si="1"/>
        <v>0.8500000000000002</v>
      </c>
      <c r="C68" s="1079">
        <f t="shared" si="0"/>
        <v>0.70047474255209508</v>
      </c>
      <c r="D68" s="1076"/>
      <c r="E68" s="507"/>
      <c r="F68" s="507"/>
      <c r="G68" s="507"/>
      <c r="H68" s="507"/>
      <c r="I68" s="507"/>
      <c r="J68" s="507"/>
    </row>
    <row r="69" spans="1:10" outlineLevel="1">
      <c r="A69" s="94"/>
      <c r="B69" s="94">
        <f t="shared" si="1"/>
        <v>0.90000000000000024</v>
      </c>
      <c r="C69" s="1079">
        <f t="shared" si="0"/>
        <v>0.71587462607426167</v>
      </c>
      <c r="D69" s="1076"/>
      <c r="E69" s="507"/>
      <c r="F69" s="507"/>
      <c r="G69" s="507"/>
      <c r="H69" s="507"/>
      <c r="I69" s="507"/>
      <c r="J69" s="507"/>
    </row>
    <row r="70" spans="1:10" outlineLevel="1">
      <c r="A70" s="94"/>
      <c r="B70" s="94">
        <f t="shared" si="1"/>
        <v>0.95000000000000029</v>
      </c>
      <c r="C70" s="1079">
        <f t="shared" si="0"/>
        <v>0.72575683879163178</v>
      </c>
      <c r="D70" s="1076"/>
      <c r="E70" s="507"/>
      <c r="F70" s="507"/>
      <c r="G70" s="507"/>
      <c r="H70" s="507"/>
      <c r="I70" s="507"/>
      <c r="J70" s="507"/>
    </row>
    <row r="71" spans="1:10" outlineLevel="1">
      <c r="A71" s="94"/>
      <c r="B71" s="94">
        <f t="shared" si="1"/>
        <v>1.0000000000000002</v>
      </c>
      <c r="C71" s="1079">
        <f t="shared" si="0"/>
        <v>0.7298836616505151</v>
      </c>
      <c r="D71" s="1076"/>
    </row>
    <row r="72" spans="1:10" outlineLevel="1">
      <c r="A72" s="94"/>
      <c r="B72" s="94">
        <f t="shared" si="1"/>
        <v>1.0500000000000003</v>
      </c>
      <c r="C72" s="1079">
        <f t="shared" si="0"/>
        <v>0.72805353187120092</v>
      </c>
      <c r="D72" s="1076"/>
    </row>
    <row r="73" spans="1:10" outlineLevel="1">
      <c r="A73" s="94"/>
      <c r="B73" s="94">
        <f t="shared" si="1"/>
        <v>1.1000000000000003</v>
      </c>
      <c r="C73" s="1079">
        <f t="shared" si="0"/>
        <v>0.72010104294795907</v>
      </c>
      <c r="D73" s="1076"/>
    </row>
    <row r="74" spans="1:10" outlineLevel="1">
      <c r="A74" s="94"/>
      <c r="B74" s="94">
        <f t="shared" si="1"/>
        <v>1.1500000000000004</v>
      </c>
      <c r="C74" s="1079">
        <f t="shared" si="0"/>
        <v>0.70589694464903885</v>
      </c>
      <c r="D74" s="1076"/>
    </row>
    <row r="75" spans="1:10" outlineLevel="1">
      <c r="A75" s="94"/>
      <c r="B75" s="94">
        <f t="shared" si="1"/>
        <v>1.2000000000000004</v>
      </c>
      <c r="C75" s="1079">
        <f t="shared" si="0"/>
        <v>0.68534814301666902</v>
      </c>
      <c r="D75" s="1076"/>
      <c r="G75" s="508" t="s">
        <v>593</v>
      </c>
    </row>
    <row r="76" spans="1:10" ht="16.5" outlineLevel="1">
      <c r="A76" s="94"/>
      <c r="B76" s="94">
        <f t="shared" si="1"/>
        <v>1.2500000000000004</v>
      </c>
      <c r="C76" s="1079">
        <f t="shared" si="0"/>
        <v>0.6583977003670598</v>
      </c>
      <c r="D76" s="1076"/>
      <c r="G76" s="508" t="s">
        <v>594</v>
      </c>
    </row>
    <row r="77" spans="1:10" outlineLevel="1">
      <c r="A77" s="94"/>
      <c r="B77" s="94">
        <f t="shared" si="1"/>
        <v>1.3000000000000005</v>
      </c>
      <c r="C77" s="1079">
        <f t="shared" si="0"/>
        <v>0.62502483529039965</v>
      </c>
      <c r="D77" s="1076"/>
      <c r="H77" s="509" t="s">
        <v>595</v>
      </c>
    </row>
    <row r="78" spans="1:10" outlineLevel="1">
      <c r="A78" s="94"/>
      <c r="B78" s="94">
        <f t="shared" si="1"/>
        <v>1.3500000000000005</v>
      </c>
      <c r="C78" s="1079">
        <f t="shared" si="0"/>
        <v>0.58524492265085759</v>
      </c>
      <c r="D78" s="1076"/>
      <c r="H78" s="510" t="s">
        <v>596</v>
      </c>
    </row>
    <row r="79" spans="1:10" outlineLevel="1">
      <c r="A79" s="94"/>
      <c r="B79" s="94">
        <f t="shared" si="1"/>
        <v>1.4000000000000006</v>
      </c>
      <c r="C79" s="1079">
        <f t="shared" si="0"/>
        <v>0.53910949358658278</v>
      </c>
      <c r="D79" s="1076"/>
    </row>
    <row r="80" spans="1:10" outlineLevel="1">
      <c r="A80" s="94"/>
      <c r="B80" s="94">
        <f t="shared" si="1"/>
        <v>1.4500000000000006</v>
      </c>
      <c r="C80" s="1079">
        <f t="shared" si="0"/>
        <v>0.48670623550970399</v>
      </c>
      <c r="D80" s="1076"/>
    </row>
    <row r="81" spans="1:9" outlineLevel="1">
      <c r="A81" s="94"/>
      <c r="B81" s="94">
        <f t="shared" si="1"/>
        <v>1.5000000000000007</v>
      </c>
      <c r="C81" s="1079">
        <f t="shared" si="0"/>
        <v>0.42815899210633013</v>
      </c>
      <c r="D81" s="1076"/>
    </row>
    <row r="82" spans="1:9" outlineLevel="1">
      <c r="A82" s="94"/>
      <c r="B82" s="94"/>
      <c r="C82" s="94"/>
      <c r="D82" s="1076"/>
    </row>
    <row r="83" spans="1:9">
      <c r="A83" s="94"/>
      <c r="B83" s="94"/>
      <c r="C83" s="94"/>
      <c r="D83" s="1076"/>
    </row>
    <row r="84" spans="1:9" collapsed="1">
      <c r="B84" s="89" t="s">
        <v>283</v>
      </c>
      <c r="C84" s="89"/>
      <c r="D84" s="89"/>
      <c r="E84" s="89"/>
      <c r="F84" s="89"/>
      <c r="G84" s="89"/>
      <c r="H84" s="89"/>
      <c r="I84" s="89"/>
    </row>
    <row r="85" spans="1:9" hidden="1" outlineLevel="1">
      <c r="B85" s="186"/>
      <c r="C85" s="186"/>
      <c r="D85" s="186"/>
      <c r="E85" s="186"/>
      <c r="F85" s="186"/>
      <c r="G85" s="186"/>
      <c r="H85" s="186"/>
      <c r="I85" s="186"/>
    </row>
    <row r="86" spans="1:9" hidden="1" outlineLevel="1">
      <c r="B86" s="185" t="s">
        <v>294</v>
      </c>
      <c r="C86" s="182"/>
      <c r="D86" s="182"/>
      <c r="E86" s="182"/>
      <c r="F86" s="182"/>
      <c r="G86" s="182"/>
      <c r="H86" s="182"/>
      <c r="I86" s="188"/>
    </row>
    <row r="87" spans="1:9" hidden="1" outlineLevel="1">
      <c r="B87" s="187"/>
      <c r="C87" s="94"/>
      <c r="D87" s="94"/>
      <c r="E87" s="94"/>
      <c r="F87" s="94"/>
      <c r="G87" s="94"/>
      <c r="H87" s="94"/>
      <c r="I87" s="186"/>
    </row>
    <row r="88" spans="1:9" hidden="1" outlineLevel="1">
      <c r="B88" s="95" t="s">
        <v>587</v>
      </c>
      <c r="C88" s="94"/>
      <c r="D88" s="94"/>
      <c r="E88" s="94"/>
      <c r="F88" s="94"/>
      <c r="G88" s="94"/>
      <c r="H88" s="94"/>
      <c r="I88" s="186"/>
    </row>
    <row r="89" spans="1:9" hidden="1" outlineLevel="1"/>
    <row r="90" spans="1:9" s="88" customFormat="1" hidden="1" outlineLevel="1"/>
    <row r="91" spans="1:9" hidden="1" outlineLevel="1">
      <c r="B91" s="91" t="s">
        <v>295</v>
      </c>
    </row>
    <row r="92" spans="1:9" hidden="1" outlineLevel="1"/>
    <row r="93" spans="1:9" ht="25.5" hidden="1" outlineLevel="1">
      <c r="C93" s="134" t="s">
        <v>273</v>
      </c>
      <c r="D93" s="134" t="s">
        <v>274</v>
      </c>
      <c r="E93" s="134" t="s">
        <v>275</v>
      </c>
      <c r="F93" s="134" t="s">
        <v>278</v>
      </c>
    </row>
    <row r="94" spans="1:9" hidden="1" outlineLevel="1">
      <c r="C94" s="167">
        <v>15</v>
      </c>
      <c r="D94" s="167">
        <v>50</v>
      </c>
      <c r="E94" s="135">
        <f>[9]!H_(11,C94,D94)</f>
        <v>276.75621069302161</v>
      </c>
      <c r="F94" s="138">
        <f>[9]!S_(11,C94,D94)</f>
        <v>16.641543295202986</v>
      </c>
    </row>
    <row r="95" spans="1:9" hidden="1" outlineLevel="1">
      <c r="C95" s="167">
        <v>1.2</v>
      </c>
      <c r="D95" s="135">
        <f>[10]!HeCalc(2,0,1,C95*10^5,8,F95*1000,1)</f>
        <v>18.198937279834237</v>
      </c>
      <c r="E95" s="135">
        <f>[9]!H_(11,C95,D95)</f>
        <v>109.00074876964561</v>
      </c>
      <c r="F95" s="138">
        <f>F94</f>
        <v>16.641543295202986</v>
      </c>
    </row>
    <row r="96" spans="1:9" hidden="1" outlineLevel="1"/>
    <row r="97" spans="2:9" hidden="1" outlineLevel="1">
      <c r="B97" s="91" t="s">
        <v>285</v>
      </c>
      <c r="D97" s="168">
        <f>E94-E95</f>
        <v>167.755461923376</v>
      </c>
      <c r="E97" s="91" t="s">
        <v>251</v>
      </c>
    </row>
    <row r="98" spans="2:9" hidden="1" outlineLevel="1"/>
    <row r="99" spans="2:9" hidden="1" outlineLevel="1">
      <c r="B99" s="91" t="s">
        <v>284</v>
      </c>
      <c r="D99" s="91">
        <v>0.75</v>
      </c>
    </row>
    <row r="100" spans="2:9" hidden="1" outlineLevel="1"/>
    <row r="101" spans="2:9" hidden="1" outlineLevel="1">
      <c r="B101" s="91" t="s">
        <v>287</v>
      </c>
      <c r="D101" s="168">
        <f>D99*D97</f>
        <v>125.816596442532</v>
      </c>
      <c r="E101" s="91" t="s">
        <v>251</v>
      </c>
    </row>
    <row r="102" spans="2:9" hidden="1" outlineLevel="1"/>
    <row r="103" spans="2:9" hidden="1" outlineLevel="1">
      <c r="B103" s="91" t="s">
        <v>286</v>
      </c>
      <c r="D103" s="168">
        <f>E94-D101</f>
        <v>150.93961425048963</v>
      </c>
      <c r="E103" s="91" t="s">
        <v>251</v>
      </c>
    </row>
    <row r="104" spans="2:9" hidden="1" outlineLevel="1">
      <c r="D104" s="168"/>
    </row>
    <row r="105" spans="2:9" hidden="1" outlineLevel="1">
      <c r="B105" s="91" t="s">
        <v>288</v>
      </c>
      <c r="D105" s="169">
        <f>[10]!HeCalc(2,0,1,C95*10^5,9,D103*1000,1)</f>
        <v>26.18716300401384</v>
      </c>
      <c r="E105" s="95" t="s">
        <v>96</v>
      </c>
    </row>
    <row r="106" spans="2:9" hidden="1" outlineLevel="1">
      <c r="D106" s="169"/>
      <c r="E106" s="95"/>
    </row>
    <row r="107" spans="2:9" hidden="1" outlineLevel="1">
      <c r="B107" s="91" t="s">
        <v>289</v>
      </c>
      <c r="D107" s="170">
        <v>50</v>
      </c>
      <c r="E107" s="95" t="s">
        <v>86</v>
      </c>
    </row>
    <row r="108" spans="2:9" hidden="1" outlineLevel="1">
      <c r="D108" s="170"/>
      <c r="E108" s="95"/>
    </row>
    <row r="109" spans="2:9" hidden="1" outlineLevel="1">
      <c r="B109" s="91" t="s">
        <v>290</v>
      </c>
      <c r="D109" s="169">
        <f>(E94-D103)*D107</f>
        <v>6290.8298221265995</v>
      </c>
      <c r="E109" s="95" t="s">
        <v>226</v>
      </c>
    </row>
    <row r="110" spans="2:9" hidden="1" outlineLevel="1">
      <c r="D110" s="169"/>
      <c r="E110" s="95"/>
    </row>
    <row r="111" spans="2:9" hidden="1" outlineLevel="1">
      <c r="B111" s="185" t="s">
        <v>293</v>
      </c>
      <c r="C111" s="182"/>
      <c r="D111" s="182"/>
      <c r="E111" s="182"/>
      <c r="F111" s="182"/>
      <c r="G111" s="182"/>
      <c r="H111" s="182"/>
      <c r="I111" s="182"/>
    </row>
    <row r="112" spans="2:9" hidden="1" outlineLevel="1">
      <c r="B112" s="95"/>
      <c r="C112" s="94"/>
      <c r="E112" s="94"/>
      <c r="F112" s="94"/>
      <c r="G112" s="94"/>
    </row>
    <row r="113" spans="2:9" ht="25.5" hidden="1" outlineLevel="1">
      <c r="C113" s="174" t="s">
        <v>282</v>
      </c>
      <c r="D113" s="175" t="s">
        <v>292</v>
      </c>
      <c r="E113" s="175" t="s">
        <v>273</v>
      </c>
      <c r="F113" s="175" t="s">
        <v>274</v>
      </c>
      <c r="G113" s="175" t="s">
        <v>275</v>
      </c>
      <c r="H113" s="176" t="s">
        <v>291</v>
      </c>
    </row>
    <row r="114" spans="2:9" hidden="1" outlineLevel="1">
      <c r="C114" s="177">
        <v>0.75</v>
      </c>
      <c r="D114" s="173">
        <v>50</v>
      </c>
      <c r="E114" s="171">
        <v>15</v>
      </c>
      <c r="F114" s="171">
        <v>50</v>
      </c>
      <c r="G114" s="172">
        <f>[9]!H_(11,E114,F114)</f>
        <v>276.75621069302161</v>
      </c>
      <c r="H114" s="178"/>
    </row>
    <row r="115" spans="2:9" hidden="1" outlineLevel="1">
      <c r="C115" s="179"/>
      <c r="D115" s="180"/>
      <c r="E115" s="181">
        <v>1.2</v>
      </c>
      <c r="F115" s="189">
        <f>[9]!T2_turb(11,E114,F114,E115,C114)</f>
        <v>26.187163004013833</v>
      </c>
      <c r="G115" s="183">
        <f>[9]!H_(11,E115,F115)</f>
        <v>150.93961425048963</v>
      </c>
      <c r="H115" s="184">
        <f>(G114-G115)*D114</f>
        <v>6290.8298221265995</v>
      </c>
    </row>
    <row r="116" spans="2:9" hidden="1" outlineLevel="1"/>
    <row r="117" spans="2:9" hidden="1" outlineLevel="1"/>
    <row r="118" spans="2:9" hidden="1" outlineLevel="1">
      <c r="B118" s="89" t="s">
        <v>297</v>
      </c>
      <c r="C118" s="89"/>
      <c r="D118" s="89"/>
      <c r="E118" s="89"/>
      <c r="F118" s="89"/>
      <c r="G118" s="89"/>
      <c r="H118" s="89"/>
      <c r="I118" s="89"/>
    </row>
    <row r="119" spans="2:9" hidden="1" outlineLevel="1"/>
    <row r="120" spans="2:9" ht="25.5" hidden="1" outlineLevel="1">
      <c r="C120" s="174" t="s">
        <v>282</v>
      </c>
      <c r="D120" s="175" t="s">
        <v>292</v>
      </c>
      <c r="E120" s="175" t="s">
        <v>273</v>
      </c>
      <c r="F120" s="175" t="s">
        <v>274</v>
      </c>
      <c r="G120" s="175" t="s">
        <v>275</v>
      </c>
      <c r="H120" s="176" t="s">
        <v>291</v>
      </c>
    </row>
    <row r="121" spans="2:9" hidden="1" outlineLevel="1">
      <c r="C121" s="177">
        <v>0.75</v>
      </c>
      <c r="D121" s="173">
        <v>100</v>
      </c>
      <c r="E121" s="171">
        <v>12</v>
      </c>
      <c r="F121" s="171">
        <v>200</v>
      </c>
      <c r="G121" s="172">
        <f t="shared" ref="G121:G126" si="2">[9]!H_(11,E121,F121)</f>
        <v>1057.7987977841847</v>
      </c>
      <c r="H121" s="178"/>
    </row>
    <row r="122" spans="2:9" hidden="1" outlineLevel="1">
      <c r="C122" s="179"/>
      <c r="D122" s="180"/>
      <c r="E122" s="181">
        <v>1.3</v>
      </c>
      <c r="F122" s="189">
        <f>[9]!T2_turb(11,E121,F121,E122,C121)</f>
        <v>111.84860707425656</v>
      </c>
      <c r="G122" s="183">
        <f t="shared" si="2"/>
        <v>596.49638662740733</v>
      </c>
      <c r="H122" s="184">
        <f>(G121-G122)*D121</f>
        <v>46130.241115677731</v>
      </c>
    </row>
    <row r="123" spans="2:9" hidden="1" outlineLevel="1">
      <c r="C123" s="177">
        <v>0.75</v>
      </c>
      <c r="D123" s="173">
        <v>100</v>
      </c>
      <c r="E123" s="171">
        <v>12</v>
      </c>
      <c r="F123" s="171">
        <v>20</v>
      </c>
      <c r="G123" s="172">
        <f t="shared" si="2"/>
        <v>113.32461018860506</v>
      </c>
      <c r="H123" s="178"/>
    </row>
    <row r="124" spans="2:9" hidden="1" outlineLevel="1">
      <c r="C124" s="179"/>
      <c r="D124" s="180"/>
      <c r="E124" s="181">
        <v>1.3</v>
      </c>
      <c r="F124" s="189">
        <f>[9]!T2_turb(11,E123,F123,E124,C123)</f>
        <v>10.773184476826538</v>
      </c>
      <c r="G124" s="183">
        <f t="shared" si="2"/>
        <v>69.239989664166643</v>
      </c>
      <c r="H124" s="184">
        <f>(G123-G124)*D123</f>
        <v>4408.4620524438424</v>
      </c>
    </row>
    <row r="125" spans="2:9" hidden="1" outlineLevel="1">
      <c r="C125" s="177">
        <v>0.75</v>
      </c>
      <c r="D125" s="173">
        <v>100</v>
      </c>
      <c r="E125" s="171">
        <v>12</v>
      </c>
      <c r="F125" s="171">
        <v>10</v>
      </c>
      <c r="G125" s="172">
        <f t="shared" si="2"/>
        <v>48.21842814697996</v>
      </c>
      <c r="H125" s="178"/>
    </row>
    <row r="126" spans="2:9" hidden="1" outlineLevel="1">
      <c r="C126" s="179"/>
      <c r="D126" s="180"/>
      <c r="E126" s="181">
        <v>1.3</v>
      </c>
      <c r="F126" s="189">
        <f>[9]!T2_turb(11,E125,F125,E126,C125)</f>
        <v>4.4977168145467648</v>
      </c>
      <c r="G126" s="183">
        <f t="shared" si="2"/>
        <v>11.629820261808892</v>
      </c>
      <c r="H126" s="184">
        <f>(G125-G126)*D125</f>
        <v>3658.8607885171073</v>
      </c>
    </row>
    <row r="127" spans="2:9" hidden="1" outlineLevel="1"/>
    <row r="129" spans="2:9">
      <c r="B129" s="89" t="s">
        <v>296</v>
      </c>
      <c r="C129" s="89"/>
      <c r="D129" s="89"/>
      <c r="E129" s="89"/>
      <c r="F129" s="89"/>
      <c r="G129" s="89"/>
      <c r="H129" s="89"/>
      <c r="I129" s="89"/>
    </row>
    <row r="130" spans="2:9" outlineLevel="1"/>
    <row r="131" spans="2:9" outlineLevel="1"/>
    <row r="132" spans="2:9" outlineLevel="1">
      <c r="E132" s="91" t="s">
        <v>299</v>
      </c>
    </row>
    <row r="133" spans="2:9" outlineLevel="1"/>
    <row r="134" spans="2:9" outlineLevel="1"/>
    <row r="135" spans="2:9" outlineLevel="1">
      <c r="B135" s="91" t="s">
        <v>612</v>
      </c>
    </row>
    <row r="136" spans="2:9" outlineLevel="1"/>
    <row r="137" spans="2:9" outlineLevel="1">
      <c r="B137" s="91" t="s">
        <v>613</v>
      </c>
    </row>
    <row r="138" spans="2:9" outlineLevel="1"/>
    <row r="139" spans="2:9" outlineLevel="1">
      <c r="B139" s="91" t="s">
        <v>614</v>
      </c>
    </row>
    <row r="140" spans="2:9" outlineLevel="1"/>
    <row r="141" spans="2:9" outlineLevel="1">
      <c r="B141" s="525" t="s">
        <v>621</v>
      </c>
    </row>
    <row r="142" spans="2:9" outlineLevel="1"/>
    <row r="143" spans="2:9" outlineLevel="1">
      <c r="B143" s="91" t="s">
        <v>615</v>
      </c>
    </row>
    <row r="144" spans="2:9" ht="21" customHeight="1" outlineLevel="1"/>
    <row r="145" spans="2:12" outlineLevel="1">
      <c r="B145" s="91" t="s">
        <v>616</v>
      </c>
      <c r="F145" s="92" t="s">
        <v>617</v>
      </c>
    </row>
    <row r="146" spans="2:12" outlineLevel="1"/>
    <row r="147" spans="2:12" outlineLevel="1"/>
    <row r="148" spans="2:12" outlineLevel="1"/>
    <row r="149" spans="2:12" outlineLevel="1"/>
    <row r="150" spans="2:12" outlineLevel="1"/>
    <row r="151" spans="2:12" outlineLevel="1"/>
    <row r="152" spans="2:12" outlineLevel="1"/>
    <row r="153" spans="2:12" outlineLevel="1"/>
    <row r="154" spans="2:12" outlineLevel="1"/>
    <row r="155" spans="2:12" outlineLevel="1">
      <c r="B155" s="95" t="s">
        <v>298</v>
      </c>
    </row>
    <row r="156" spans="2:12" outlineLevel="1"/>
    <row r="157" spans="2:12" outlineLevel="1"/>
    <row r="158" spans="2:12" outlineLevel="1">
      <c r="C158" s="95" t="s">
        <v>301</v>
      </c>
      <c r="L158" s="333" t="s">
        <v>607</v>
      </c>
    </row>
    <row r="159" spans="2:12" outlineLevel="1"/>
    <row r="160" spans="2:12" outlineLevel="1"/>
    <row r="161" spans="2:9" ht="25.5" outlineLevel="1">
      <c r="C161" s="134" t="s">
        <v>273</v>
      </c>
      <c r="D161" s="134" t="s">
        <v>274</v>
      </c>
      <c r="E161" s="134" t="s">
        <v>275</v>
      </c>
      <c r="F161" s="134" t="s">
        <v>276</v>
      </c>
      <c r="G161" s="134" t="s">
        <v>277</v>
      </c>
      <c r="H161" s="524" t="s">
        <v>85</v>
      </c>
      <c r="I161" s="134" t="s">
        <v>282</v>
      </c>
    </row>
    <row r="162" spans="2:9" outlineLevel="1">
      <c r="C162" s="191">
        <v>13.71</v>
      </c>
      <c r="D162" s="191">
        <v>43.64</v>
      </c>
      <c r="E162" s="135">
        <f>[9]!H_(11,C162,D162)</f>
        <v>242.81566478060728</v>
      </c>
      <c r="F162" s="191">
        <v>25</v>
      </c>
      <c r="G162" s="190">
        <f>F162*(E162-E163)</f>
        <v>1123.2018284414444</v>
      </c>
      <c r="H162" s="135">
        <f>F162*(D162)^0.5/C162</f>
        <v>12.046057304824028</v>
      </c>
      <c r="I162" s="214">
        <v>0.72</v>
      </c>
    </row>
    <row r="163" spans="2:9" outlineLevel="1">
      <c r="B163" s="88"/>
      <c r="C163" s="191">
        <v>6.2759999999999998</v>
      </c>
      <c r="D163" s="135">
        <f>[9]!T2_turb(11,C162,D162,C163,$I$162)</f>
        <v>35.224811058369625</v>
      </c>
      <c r="E163" s="135">
        <f>[9]!H_(11,C163,D163)</f>
        <v>197.8875916429495</v>
      </c>
      <c r="F163" s="88"/>
      <c r="G163" s="88"/>
      <c r="H163" s="88"/>
    </row>
    <row r="164" spans="2:9" outlineLevel="1">
      <c r="B164" s="88"/>
      <c r="C164" s="88"/>
      <c r="D164" s="88"/>
      <c r="E164" s="88"/>
      <c r="F164" s="88"/>
      <c r="G164" s="88"/>
      <c r="H164" s="88"/>
    </row>
    <row r="165" spans="2:9" outlineLevel="1">
      <c r="B165" s="196">
        <f>G165-$G$162</f>
        <v>-419.15801635272931</v>
      </c>
      <c r="C165" s="192">
        <v>6.5070195289166852</v>
      </c>
      <c r="D165" s="191">
        <v>200</v>
      </c>
      <c r="E165" s="135">
        <f>[9]!H_(11,C165,D165)</f>
        <v>1056.0083440203168</v>
      </c>
      <c r="F165" s="194">
        <f>F178</f>
        <v>3.5358195822150895</v>
      </c>
      <c r="G165" s="196">
        <f>F165*(E165-E166)</f>
        <v>704.04381208871507</v>
      </c>
      <c r="H165" s="135"/>
      <c r="I165" s="88"/>
    </row>
    <row r="166" spans="2:9" outlineLevel="1">
      <c r="C166" s="193">
        <f>+C178</f>
        <v>3.0112536664598082</v>
      </c>
      <c r="D166" s="135">
        <f>[9]!T2_turb(11,C165,D165,C166,$I$162)</f>
        <v>161.87926245785675</v>
      </c>
      <c r="E166" s="135">
        <f>[9]!H_(11,C166,D166)</f>
        <v>856.89077149766797</v>
      </c>
      <c r="F166" s="195"/>
      <c r="G166" s="88"/>
      <c r="H166" s="88"/>
      <c r="I166" s="88"/>
    </row>
    <row r="167" spans="2:9" outlineLevel="1">
      <c r="B167" s="88"/>
      <c r="C167" s="88"/>
      <c r="D167" s="88"/>
      <c r="E167" s="88"/>
      <c r="F167" s="88"/>
      <c r="G167" s="88"/>
      <c r="H167" s="88"/>
      <c r="I167" s="88"/>
    </row>
    <row r="168" spans="2:9" outlineLevel="1">
      <c r="B168" s="196">
        <f>G168-G162</f>
        <v>-390.71875360781894</v>
      </c>
      <c r="C168" s="192">
        <v>5.6249870428097166</v>
      </c>
      <c r="D168" s="191">
        <v>300</v>
      </c>
      <c r="E168" s="135">
        <f>[9]!H_(11,C168,D168)</f>
        <v>1575.008529404126</v>
      </c>
      <c r="F168" s="194">
        <f>F181</f>
        <v>2.5964608764233197</v>
      </c>
      <c r="G168" s="196">
        <f>F168*(E168-E169)</f>
        <v>732.48307483362544</v>
      </c>
      <c r="H168" s="135"/>
      <c r="I168" s="135"/>
    </row>
    <row r="169" spans="2:9" outlineLevel="1">
      <c r="C169" s="193">
        <f>+C181</f>
        <v>2.7314388803867637</v>
      </c>
      <c r="D169" s="135">
        <f>[9]!T2_turb(11,C168,D168,C169,$I$162)</f>
        <v>245.85419768077711</v>
      </c>
      <c r="E169" s="135">
        <f>[9]!H_(11,C169,D169)</f>
        <v>1292.9002636933649</v>
      </c>
      <c r="F169" s="195"/>
      <c r="G169" s="196"/>
      <c r="H169" s="88"/>
      <c r="I169" s="88"/>
    </row>
    <row r="170" spans="2:9" outlineLevel="1">
      <c r="C170" s="191"/>
      <c r="D170" s="135"/>
      <c r="E170" s="135"/>
      <c r="F170" s="195"/>
      <c r="G170" s="88"/>
      <c r="H170" s="88"/>
      <c r="I170" s="88"/>
    </row>
    <row r="171" spans="2:9" outlineLevel="1">
      <c r="C171" s="95" t="s">
        <v>300</v>
      </c>
      <c r="D171" s="135"/>
      <c r="E171" s="135"/>
      <c r="F171" s="195"/>
      <c r="G171" s="88"/>
      <c r="H171" s="88"/>
      <c r="I171" s="88"/>
    </row>
    <row r="172" spans="2:9" outlineLevel="1">
      <c r="D172" s="96"/>
    </row>
    <row r="173" spans="2:9" outlineLevel="1"/>
    <row r="174" spans="2:9" ht="25.5" outlineLevel="1">
      <c r="C174" s="134" t="s">
        <v>273</v>
      </c>
      <c r="D174" s="134" t="s">
        <v>274</v>
      </c>
      <c r="E174" s="134" t="s">
        <v>275</v>
      </c>
      <c r="F174" s="134" t="s">
        <v>276</v>
      </c>
      <c r="G174" s="134" t="s">
        <v>277</v>
      </c>
      <c r="H174" s="524" t="s">
        <v>85</v>
      </c>
      <c r="I174" s="134" t="s">
        <v>282</v>
      </c>
    </row>
    <row r="175" spans="2:9" outlineLevel="1">
      <c r="C175" s="198">
        <f>C163</f>
        <v>6.2759999999999998</v>
      </c>
      <c r="D175" s="191">
        <v>17.18</v>
      </c>
      <c r="E175" s="135">
        <f>[9]!H_(11,C175,D175)</f>
        <v>100.10714214025222</v>
      </c>
      <c r="F175" s="191">
        <v>24.93</v>
      </c>
      <c r="G175" s="190">
        <f>F175*(E175-E176)</f>
        <v>743.12465403577414</v>
      </c>
      <c r="H175" s="135">
        <f>F175*(D175)^0.5/C175</f>
        <v>16.464590110810811</v>
      </c>
      <c r="I175" s="214">
        <v>0.72</v>
      </c>
    </row>
    <row r="176" spans="2:9" outlineLevel="1">
      <c r="C176" s="191">
        <v>1.214</v>
      </c>
      <c r="D176" s="135">
        <f>[9]!T2_turb(11,C175,D175,C176,$I$175)</f>
        <v>10.943806252492537</v>
      </c>
      <c r="E176" s="135">
        <f>[9]!H_(11,C176,D176)</f>
        <v>70.298692319322654</v>
      </c>
      <c r="F176" s="88"/>
      <c r="G176" s="88"/>
      <c r="H176" s="88"/>
    </row>
    <row r="177" spans="2:9" outlineLevel="1"/>
    <row r="178" spans="2:9" outlineLevel="1">
      <c r="B178" s="197">
        <f>G178-$G$175</f>
        <v>1.9491374473545875E-5</v>
      </c>
      <c r="C178" s="192">
        <v>3.0112536664598082</v>
      </c>
      <c r="D178" s="191">
        <v>196.6148593045497</v>
      </c>
      <c r="E178" s="135">
        <f>[9]!H_(11,C178,D178)</f>
        <v>1037.2882926957027</v>
      </c>
      <c r="F178" s="194">
        <f>$H$175*C178/(D178)^0.5</f>
        <v>3.5358195822150895</v>
      </c>
      <c r="G178" s="196">
        <f>F178*(E178-E179)</f>
        <v>743.12467352714862</v>
      </c>
      <c r="H178" s="135"/>
    </row>
    <row r="179" spans="2:9" outlineLevel="1">
      <c r="C179" s="192">
        <v>1.3</v>
      </c>
      <c r="D179" s="135">
        <f>[9]!T2_turb(11,C178,D178,C179,$I$175)</f>
        <v>156.25238739003495</v>
      </c>
      <c r="E179" s="135">
        <f>[9]!H_(11,C179,D179)</f>
        <v>827.11787640381647</v>
      </c>
      <c r="F179" s="195"/>
      <c r="G179" s="88"/>
      <c r="H179" s="88"/>
    </row>
    <row r="180" spans="2:9" outlineLevel="1"/>
    <row r="181" spans="2:9" outlineLevel="1">
      <c r="B181" s="196">
        <f>G181-G175</f>
        <v>6.0032236279571407</v>
      </c>
      <c r="C181" s="192">
        <v>2.7314388803867637</v>
      </c>
      <c r="D181" s="191">
        <v>300</v>
      </c>
      <c r="E181" s="135">
        <f>[9]!H_(11,C181,D181)</f>
        <v>1574.0738427829301</v>
      </c>
      <c r="F181" s="194">
        <f>$H$175*C181/(D181)^0.5</f>
        <v>2.5964608764233197</v>
      </c>
      <c r="G181" s="196">
        <f>F181*(E181-E182)</f>
        <v>749.12787766373128</v>
      </c>
      <c r="H181" s="135"/>
    </row>
    <row r="182" spans="2:9" outlineLevel="1">
      <c r="C182" s="192">
        <v>1.3</v>
      </c>
      <c r="D182" s="135">
        <f>[9]!T2_turb(11,C181,D181,C182,$I$175)</f>
        <v>244.52968266157256</v>
      </c>
      <c r="E182" s="135">
        <f>[9]!H_(11,C182,D182)</f>
        <v>1285.5550037485939</v>
      </c>
      <c r="F182" s="195"/>
      <c r="G182" s="88"/>
      <c r="H182" s="88"/>
      <c r="I182" s="88"/>
    </row>
    <row r="183" spans="2:9" outlineLevel="1"/>
    <row r="186" spans="2:9" collapsed="1">
      <c r="B186" s="89" t="s">
        <v>281</v>
      </c>
      <c r="C186" s="89"/>
      <c r="D186" s="89"/>
      <c r="E186" s="89"/>
      <c r="F186" s="89"/>
      <c r="G186" s="89"/>
      <c r="H186" s="89"/>
      <c r="I186" s="89"/>
    </row>
    <row r="187" spans="2:9" hidden="1" outlineLevel="1">
      <c r="C187" s="91" t="s">
        <v>279</v>
      </c>
    </row>
    <row r="188" spans="2:9" hidden="1" outlineLevel="1">
      <c r="C188" s="166" t="s">
        <v>280</v>
      </c>
    </row>
    <row r="189" spans="2:9" hidden="1" outlineLevel="1"/>
    <row r="190" spans="2:9" hidden="1" outlineLevel="1"/>
    <row r="191" spans="2:9" hidden="1" outlineLevel="1"/>
    <row r="192" spans="2:9" hidden="1" outlineLevel="1"/>
    <row r="194" spans="2:9" collapsed="1">
      <c r="B194" s="89" t="s">
        <v>624</v>
      </c>
      <c r="C194" s="89"/>
      <c r="D194" s="89"/>
      <c r="E194" s="89"/>
      <c r="F194" s="89"/>
      <c r="G194" s="89"/>
      <c r="H194" s="89"/>
      <c r="I194" s="89"/>
    </row>
    <row r="195" spans="2:9" hidden="1" outlineLevel="1"/>
    <row r="196" spans="2:9" hidden="1" outlineLevel="1"/>
    <row r="197" spans="2:9" hidden="1" outlineLevel="1">
      <c r="D197" s="91" t="s">
        <v>625</v>
      </c>
    </row>
    <row r="198" spans="2:9" hidden="1" outlineLevel="1">
      <c r="D198" s="91" t="s">
        <v>629</v>
      </c>
      <c r="F198" s="481" t="s">
        <v>630</v>
      </c>
    </row>
    <row r="199" spans="2:9" hidden="1" outlineLevel="1">
      <c r="F199" s="481" t="s">
        <v>631</v>
      </c>
    </row>
    <row r="200" spans="2:9" hidden="1" outlineLevel="1">
      <c r="D200" s="91" t="s">
        <v>632</v>
      </c>
    </row>
    <row r="201" spans="2:9" hidden="1" outlineLevel="1">
      <c r="D201" s="91" t="s">
        <v>633</v>
      </c>
    </row>
    <row r="202" spans="2:9" hidden="1" outlineLevel="1"/>
    <row r="203" spans="2:9" hidden="1" outlineLevel="1"/>
    <row r="204" spans="2:9" hidden="1" outlineLevel="1"/>
    <row r="205" spans="2:9" hidden="1" outlineLevel="1"/>
    <row r="206" spans="2:9" hidden="1" outlineLevel="1"/>
    <row r="207" spans="2:9" hidden="1" outlineLevel="1"/>
    <row r="208" spans="2:9" hidden="1" outlineLevel="1"/>
    <row r="209" spans="2:2" hidden="1" outlineLevel="1"/>
    <row r="210" spans="2:2" hidden="1" outlineLevel="1"/>
    <row r="211" spans="2:2" hidden="1" outlineLevel="1"/>
    <row r="212" spans="2:2" hidden="1" outlineLevel="1"/>
    <row r="213" spans="2:2" hidden="1" outlineLevel="1"/>
    <row r="214" spans="2:2" hidden="1" outlineLevel="1"/>
    <row r="215" spans="2:2" hidden="1" outlineLevel="1"/>
    <row r="216" spans="2:2" hidden="1" outlineLevel="1"/>
    <row r="217" spans="2:2" hidden="1" outlineLevel="1">
      <c r="B217" s="91" t="s">
        <v>608</v>
      </c>
    </row>
    <row r="218" spans="2:2" hidden="1" outlineLevel="1"/>
  </sheetData>
  <phoneticPr fontId="12" type="noConversion"/>
  <pageMargins left="0.75" right="0.75" top="1" bottom="1" header="0.4921259845" footer="0.4921259845"/>
  <pageSetup paperSize="9" orientation="portrait" r:id="rId1"/>
  <headerFooter alignWithMargins="0"/>
  <drawing r:id="rId2"/>
  <legacyDrawing r:id="rId3"/>
  <oleObjects>
    <oleObject progId="Equation.3" shapeId="53249" r:id="rId4"/>
    <oleObject progId="Equation.3" shapeId="53277" r:id="rId5"/>
    <oleObject progId="Equation.3" shapeId="53278" r:id="rId6"/>
    <oleObject progId="Equation.3" shapeId="53315" r:id="rId7"/>
    <oleObject progId="Equation.3" shapeId="53334" r:id="rId8"/>
    <oleObject progId="Equation.3" shapeId="53335" r:id="rId9"/>
    <oleObject progId="Equation.3" shapeId="53336" r:id="rId10"/>
    <oleObject progId="Equation.3" shapeId="53337" r:id="rId11"/>
    <oleObject progId="Equation.3" shapeId="53338" r:id="rId12"/>
    <oleObject progId="Equation.3" shapeId="53339" r:id="rId13"/>
    <oleObject progId="Equation.3" shapeId="53340" r:id="rId1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31"/>
  <dimension ref="A1:AD88"/>
  <sheetViews>
    <sheetView topLeftCell="A11" zoomScaleNormal="70" zoomScaleSheetLayoutView="85" workbookViewId="0">
      <selection activeCell="I51" sqref="I51"/>
    </sheetView>
  </sheetViews>
  <sheetFormatPr defaultColWidth="11.42578125" defaultRowHeight="12.75"/>
  <cols>
    <col min="1" max="1" width="1.85546875" style="91" customWidth="1"/>
    <col min="2" max="2" width="3" style="91" customWidth="1"/>
    <col min="3" max="6" width="2.85546875" style="91" customWidth="1"/>
    <col min="7" max="7" width="6" style="91" bestFit="1" customWidth="1"/>
    <col min="8" max="8" width="6.85546875" style="91" customWidth="1"/>
    <col min="9" max="9" width="17.140625" style="91" customWidth="1"/>
    <col min="10" max="10" width="14.42578125" style="91" customWidth="1"/>
    <col min="11" max="11" width="23.42578125" style="91" bestFit="1" customWidth="1"/>
    <col min="12" max="12" width="13.28515625" style="91" customWidth="1"/>
    <col min="13" max="13" width="14" style="91" customWidth="1"/>
    <col min="14" max="14" width="12.140625" style="91" bestFit="1" customWidth="1"/>
    <col min="15" max="15" width="9.42578125" style="91" bestFit="1" customWidth="1"/>
    <col min="16" max="18" width="3.5703125" style="91" customWidth="1"/>
    <col min="19" max="19" width="3.42578125" style="91" customWidth="1"/>
    <col min="20" max="24" width="5" style="91" customWidth="1"/>
    <col min="25" max="25" width="1.85546875" style="91" customWidth="1"/>
    <col min="26" max="30" width="3.85546875" style="91" customWidth="1"/>
    <col min="31" max="16384" width="11.42578125" style="91"/>
  </cols>
  <sheetData>
    <row r="1" spans="1:30" ht="8.25" customHeight="1" thickBot="1"/>
    <row r="2" spans="1:30" ht="18" customHeight="1">
      <c r="A2" s="534"/>
      <c r="B2" s="884"/>
      <c r="C2" s="885"/>
      <c r="D2" s="885"/>
      <c r="E2" s="885"/>
      <c r="F2" s="885"/>
      <c r="G2" s="885"/>
      <c r="H2" s="886"/>
      <c r="I2" s="885"/>
      <c r="J2" s="887" t="s">
        <v>634</v>
      </c>
      <c r="K2" s="888"/>
      <c r="L2" s="889" t="s">
        <v>826</v>
      </c>
      <c r="M2" s="885"/>
      <c r="N2" s="885"/>
      <c r="O2" s="885"/>
      <c r="P2" s="885"/>
      <c r="Q2" s="885"/>
      <c r="R2" s="885"/>
      <c r="S2" s="886"/>
      <c r="T2" s="885"/>
      <c r="U2" s="885"/>
      <c r="V2" s="890" t="s">
        <v>635</v>
      </c>
      <c r="W2" s="885"/>
      <c r="X2" s="891"/>
      <c r="Z2" s="94"/>
      <c r="AA2" s="94"/>
      <c r="AB2" s="94"/>
      <c r="AC2" s="94"/>
      <c r="AD2" s="94"/>
    </row>
    <row r="3" spans="1:30" ht="15.75">
      <c r="A3" s="534"/>
      <c r="B3" s="892"/>
      <c r="C3" s="540"/>
      <c r="D3" s="540"/>
      <c r="E3" s="540"/>
      <c r="F3" s="540"/>
      <c r="G3" s="540"/>
      <c r="H3" s="893"/>
      <c r="I3" s="540"/>
      <c r="J3" s="894" t="s">
        <v>636</v>
      </c>
      <c r="K3" s="540"/>
      <c r="L3" s="895" t="s">
        <v>827</v>
      </c>
      <c r="M3" s="534"/>
      <c r="N3" s="534"/>
      <c r="O3" s="534"/>
      <c r="P3" s="534"/>
      <c r="Q3" s="534"/>
      <c r="R3" s="534"/>
      <c r="S3" s="541"/>
      <c r="T3" s="534"/>
      <c r="U3" s="534"/>
      <c r="V3" s="553" t="s">
        <v>829</v>
      </c>
      <c r="W3" s="534"/>
      <c r="X3" s="896"/>
      <c r="Z3" s="94"/>
      <c r="AA3" s="94"/>
      <c r="AB3" s="94"/>
      <c r="AC3" s="94"/>
      <c r="AD3" s="94"/>
    </row>
    <row r="4" spans="1:30" ht="15">
      <c r="A4" s="534"/>
      <c r="B4" s="897"/>
      <c r="C4" s="898"/>
      <c r="D4" s="898"/>
      <c r="E4" s="898"/>
      <c r="F4" s="898"/>
      <c r="G4" s="898"/>
      <c r="H4" s="546"/>
      <c r="I4" s="898"/>
      <c r="J4" s="898"/>
      <c r="K4" s="898"/>
      <c r="L4" s="898"/>
      <c r="M4" s="898"/>
      <c r="N4" s="898"/>
      <c r="O4" s="898"/>
      <c r="P4" s="898"/>
      <c r="Q4" s="898"/>
      <c r="R4" s="547"/>
      <c r="S4" s="550"/>
      <c r="T4" s="549"/>
      <c r="U4" s="899"/>
      <c r="V4" s="899"/>
      <c r="W4" s="899"/>
      <c r="X4" s="900"/>
      <c r="Z4" s="723"/>
      <c r="AA4" s="723"/>
      <c r="AB4" s="723"/>
      <c r="AC4" s="723"/>
      <c r="AD4" s="723"/>
    </row>
    <row r="5" spans="1:30" ht="15">
      <c r="A5" s="534"/>
      <c r="B5" s="892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34"/>
      <c r="S5" s="541"/>
      <c r="T5" s="901"/>
      <c r="U5" s="901"/>
      <c r="V5" s="902" t="s">
        <v>640</v>
      </c>
      <c r="W5" s="901"/>
      <c r="X5" s="896"/>
      <c r="Z5" s="723"/>
      <c r="AA5" s="723"/>
      <c r="AB5" s="723"/>
      <c r="AC5" s="723"/>
      <c r="AD5" s="723"/>
    </row>
    <row r="6" spans="1:30" ht="15.75">
      <c r="A6" s="534"/>
      <c r="B6" s="892"/>
      <c r="C6" s="540"/>
      <c r="D6" s="540"/>
      <c r="E6" s="540"/>
      <c r="F6" s="534"/>
      <c r="G6" s="540"/>
      <c r="H6" s="534"/>
      <c r="I6" s="540"/>
      <c r="J6" s="534"/>
      <c r="K6" s="903" t="s">
        <v>828</v>
      </c>
      <c r="L6" s="540"/>
      <c r="M6" s="534"/>
      <c r="N6" s="534"/>
      <c r="O6" s="534"/>
      <c r="P6" s="534"/>
      <c r="Q6" s="534"/>
      <c r="R6" s="534"/>
      <c r="S6" s="541"/>
      <c r="T6" s="554"/>
      <c r="U6" s="554"/>
      <c r="V6" s="553" t="s">
        <v>830</v>
      </c>
      <c r="W6" s="554"/>
      <c r="X6" s="896"/>
    </row>
    <row r="7" spans="1:30" ht="12.75" customHeight="1">
      <c r="A7" s="534"/>
      <c r="B7" s="897"/>
      <c r="C7" s="904"/>
      <c r="D7" s="904"/>
      <c r="E7" s="904"/>
      <c r="F7" s="904"/>
      <c r="G7" s="904"/>
      <c r="H7" s="904"/>
      <c r="I7" s="904"/>
      <c r="J7" s="547"/>
      <c r="K7" s="904"/>
      <c r="L7" s="904"/>
      <c r="M7" s="904"/>
      <c r="N7" s="904"/>
      <c r="O7" s="904"/>
      <c r="P7" s="904"/>
      <c r="Q7" s="547"/>
      <c r="R7" s="905"/>
      <c r="S7" s="906"/>
      <c r="T7" s="905"/>
      <c r="U7" s="905"/>
      <c r="V7" s="905"/>
      <c r="W7" s="905"/>
      <c r="X7" s="907"/>
      <c r="Y7" s="735"/>
      <c r="Z7" s="735"/>
      <c r="AA7" s="735"/>
      <c r="AB7" s="735"/>
      <c r="AC7" s="735"/>
      <c r="AD7" s="735"/>
    </row>
    <row r="8" spans="1:30" ht="15.75" thickBot="1">
      <c r="A8" s="534"/>
      <c r="B8" s="908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10"/>
      <c r="R8" s="910"/>
      <c r="S8" s="911"/>
      <c r="T8" s="910"/>
      <c r="U8" s="910"/>
      <c r="V8" s="910"/>
      <c r="W8" s="910"/>
      <c r="X8" s="912"/>
      <c r="Y8" s="735"/>
      <c r="Z8" s="735"/>
      <c r="AA8" s="735"/>
      <c r="AB8" s="735"/>
      <c r="AC8" s="735"/>
      <c r="AD8" s="735"/>
    </row>
    <row r="9" spans="1:30" ht="15">
      <c r="A9" s="534"/>
      <c r="B9" s="884"/>
      <c r="C9" s="885"/>
      <c r="D9" s="885"/>
      <c r="E9" s="885"/>
      <c r="F9" s="885"/>
      <c r="G9" s="885"/>
      <c r="H9" s="885"/>
      <c r="I9" s="885"/>
      <c r="J9" s="885"/>
      <c r="K9" s="885"/>
      <c r="L9" s="885"/>
      <c r="M9" s="885"/>
      <c r="N9" s="885"/>
      <c r="O9" s="885"/>
      <c r="P9" s="885"/>
      <c r="Q9" s="885"/>
      <c r="R9" s="890"/>
      <c r="S9" s="885"/>
      <c r="T9" s="885"/>
      <c r="U9" s="885"/>
      <c r="V9" s="885" t="s">
        <v>642</v>
      </c>
      <c r="W9" s="885"/>
      <c r="X9" s="891"/>
      <c r="Y9" s="724"/>
      <c r="Z9" s="724"/>
      <c r="AA9" s="724"/>
      <c r="AB9" s="724"/>
      <c r="AC9" s="724"/>
      <c r="AD9" s="724"/>
    </row>
    <row r="10" spans="1:30" ht="15">
      <c r="A10" s="534"/>
      <c r="B10" s="892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53"/>
      <c r="S10" s="534"/>
      <c r="T10" s="534"/>
      <c r="U10" s="534"/>
      <c r="V10" s="534"/>
      <c r="W10" s="534"/>
      <c r="X10" s="896"/>
      <c r="Y10" s="724"/>
      <c r="Z10" s="724"/>
      <c r="AA10" s="724"/>
      <c r="AB10" s="724"/>
      <c r="AC10" s="724"/>
      <c r="AD10" s="724"/>
    </row>
    <row r="11" spans="1:30" ht="15.75">
      <c r="A11" s="534"/>
      <c r="B11" s="892"/>
      <c r="C11" s="534"/>
      <c r="D11" s="913" t="s">
        <v>833</v>
      </c>
      <c r="E11" s="913"/>
      <c r="F11" s="913"/>
      <c r="G11" s="913"/>
      <c r="H11" s="913"/>
      <c r="I11" s="913"/>
      <c r="J11" s="913"/>
      <c r="K11" s="913"/>
      <c r="L11" s="913"/>
      <c r="M11" s="913"/>
      <c r="N11" s="913"/>
      <c r="O11" s="913"/>
      <c r="P11" s="913"/>
      <c r="Q11" s="914"/>
      <c r="R11" s="914"/>
      <c r="S11" s="915"/>
      <c r="T11" s="534"/>
      <c r="U11" s="534"/>
      <c r="V11" s="534"/>
      <c r="W11" s="534"/>
      <c r="X11" s="896"/>
      <c r="Y11" s="724"/>
      <c r="Z11" s="724"/>
      <c r="AA11" s="724"/>
      <c r="AB11" s="724"/>
      <c r="AC11" s="724"/>
      <c r="AD11" s="724"/>
    </row>
    <row r="12" spans="1:30" ht="15">
      <c r="A12" s="534"/>
      <c r="B12" s="892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53"/>
      <c r="S12" s="534"/>
      <c r="T12" s="534"/>
      <c r="U12" s="534"/>
      <c r="V12" s="534"/>
      <c r="W12" s="534"/>
      <c r="X12" s="896"/>
      <c r="Y12" s="724"/>
      <c r="Z12" s="724"/>
      <c r="AA12" s="724"/>
      <c r="AB12" s="724"/>
      <c r="AC12" s="724"/>
      <c r="AD12" s="724"/>
    </row>
    <row r="13" spans="1:30" ht="15">
      <c r="A13" s="534"/>
      <c r="B13" s="892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53"/>
      <c r="S13" s="534"/>
      <c r="T13" s="534"/>
      <c r="U13" s="534"/>
      <c r="V13" s="534"/>
      <c r="W13" s="534"/>
      <c r="X13" s="896"/>
      <c r="Y13" s="724"/>
      <c r="Z13" s="724"/>
      <c r="AA13" s="724"/>
      <c r="AB13" s="724"/>
      <c r="AC13" s="724"/>
      <c r="AD13" s="724"/>
    </row>
    <row r="14" spans="1:30" ht="16.5" thickBot="1">
      <c r="A14" s="534"/>
      <c r="B14" s="892"/>
      <c r="C14" s="534"/>
      <c r="H14" s="960" t="s">
        <v>851</v>
      </c>
      <c r="I14" s="961"/>
      <c r="J14" s="961"/>
      <c r="K14" s="961"/>
      <c r="L14" s="961"/>
      <c r="M14" s="961"/>
      <c r="N14" s="961"/>
      <c r="O14" s="961"/>
      <c r="P14" s="534"/>
      <c r="Q14" s="534"/>
      <c r="R14" s="553"/>
      <c r="S14" s="534"/>
      <c r="T14" s="534"/>
      <c r="U14" s="534"/>
      <c r="V14" s="534"/>
      <c r="W14" s="534"/>
      <c r="X14" s="896"/>
      <c r="Y14" s="724"/>
      <c r="Z14" s="724"/>
      <c r="AA14" s="724"/>
      <c r="AB14" s="724"/>
      <c r="AC14" s="724"/>
      <c r="AD14" s="724"/>
    </row>
    <row r="15" spans="1:30" ht="15">
      <c r="A15" s="534"/>
      <c r="B15" s="892"/>
      <c r="C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53"/>
      <c r="S15" s="534"/>
      <c r="T15" s="534"/>
      <c r="U15" s="534"/>
      <c r="V15" s="534"/>
      <c r="W15" s="534"/>
      <c r="X15" s="896"/>
      <c r="Y15" s="724"/>
      <c r="Z15" s="724"/>
      <c r="AA15" s="724"/>
      <c r="AB15" s="724"/>
      <c r="AC15" s="724"/>
      <c r="AD15" s="724"/>
    </row>
    <row r="16" spans="1:30" ht="15.75">
      <c r="A16" s="534"/>
      <c r="B16" s="892"/>
      <c r="C16" s="534"/>
      <c r="H16" s="534"/>
      <c r="I16" s="534"/>
      <c r="J16" s="534"/>
      <c r="K16" s="534"/>
      <c r="L16" s="959" t="s">
        <v>243</v>
      </c>
      <c r="M16" s="959" t="s">
        <v>846</v>
      </c>
      <c r="N16" s="959" t="s">
        <v>847</v>
      </c>
      <c r="P16" s="534"/>
      <c r="Q16" s="534"/>
      <c r="R16" s="553"/>
      <c r="S16" s="534"/>
      <c r="T16" s="534"/>
      <c r="U16" s="534"/>
      <c r="V16" s="534"/>
      <c r="W16" s="534"/>
      <c r="X16" s="896"/>
      <c r="Y16" s="724"/>
      <c r="Z16" s="724"/>
      <c r="AA16" s="724"/>
      <c r="AB16" s="724"/>
      <c r="AC16" s="724"/>
      <c r="AD16" s="724"/>
    </row>
    <row r="17" spans="1:30" ht="15">
      <c r="A17" s="534"/>
      <c r="B17" s="892"/>
      <c r="C17" s="534"/>
      <c r="H17" s="534"/>
      <c r="I17" s="534"/>
      <c r="J17" s="534" t="s">
        <v>843</v>
      </c>
      <c r="K17" s="534"/>
      <c r="L17" s="553">
        <v>12</v>
      </c>
      <c r="M17" s="958">
        <v>10</v>
      </c>
      <c r="N17" s="958">
        <f>M17*L17</f>
        <v>120</v>
      </c>
      <c r="P17" s="534"/>
      <c r="Q17" s="534"/>
      <c r="R17" s="553"/>
      <c r="S17" s="534"/>
      <c r="T17" s="534"/>
      <c r="U17" s="534"/>
      <c r="V17" s="534"/>
      <c r="W17" s="534"/>
      <c r="X17" s="896"/>
      <c r="Y17" s="724"/>
      <c r="Z17" s="724"/>
      <c r="AA17" s="724"/>
      <c r="AB17" s="724"/>
      <c r="AC17" s="724"/>
      <c r="AD17" s="724"/>
    </row>
    <row r="18" spans="1:30" ht="15">
      <c r="A18" s="534"/>
      <c r="B18" s="892"/>
      <c r="C18" s="534"/>
      <c r="H18" s="534"/>
      <c r="I18" s="534"/>
      <c r="J18" s="534" t="s">
        <v>844</v>
      </c>
      <c r="K18" s="534"/>
      <c r="L18" s="553">
        <v>6</v>
      </c>
      <c r="M18" s="958">
        <v>5</v>
      </c>
      <c r="N18" s="958">
        <f>M18*L18</f>
        <v>30</v>
      </c>
      <c r="P18" s="534"/>
      <c r="Q18" s="534"/>
      <c r="R18" s="553"/>
      <c r="S18" s="534"/>
      <c r="T18" s="534"/>
      <c r="U18" s="534"/>
      <c r="V18" s="534"/>
      <c r="W18" s="534"/>
      <c r="X18" s="896"/>
      <c r="Y18" s="724"/>
      <c r="Z18" s="724"/>
      <c r="AA18" s="724"/>
      <c r="AB18" s="724"/>
      <c r="AC18" s="724"/>
      <c r="AD18" s="724"/>
    </row>
    <row r="19" spans="1:30" ht="15">
      <c r="A19" s="534"/>
      <c r="B19" s="892"/>
      <c r="C19" s="534"/>
      <c r="H19" s="534"/>
      <c r="I19" s="534"/>
      <c r="J19" s="534" t="s">
        <v>845</v>
      </c>
      <c r="K19" s="534"/>
      <c r="L19" s="553">
        <v>8</v>
      </c>
      <c r="M19" s="958">
        <v>50</v>
      </c>
      <c r="N19" s="958">
        <f>M19*L19</f>
        <v>400</v>
      </c>
      <c r="P19" s="534"/>
      <c r="Q19" s="534"/>
      <c r="R19" s="553"/>
      <c r="S19" s="534"/>
      <c r="T19" s="534"/>
      <c r="U19" s="534"/>
      <c r="V19" s="534"/>
      <c r="W19" s="534"/>
      <c r="X19" s="896"/>
      <c r="Y19" s="724"/>
      <c r="Z19" s="724"/>
      <c r="AA19" s="724"/>
      <c r="AB19" s="724"/>
      <c r="AC19" s="724"/>
      <c r="AD19" s="724"/>
    </row>
    <row r="20" spans="1:30" ht="15">
      <c r="A20" s="534"/>
      <c r="B20" s="892"/>
      <c r="C20" s="534"/>
      <c r="H20" s="534"/>
      <c r="I20" s="534"/>
      <c r="J20" s="534" t="s">
        <v>848</v>
      </c>
      <c r="K20" s="534"/>
      <c r="L20" s="553">
        <v>8</v>
      </c>
      <c r="M20" s="958">
        <v>15</v>
      </c>
      <c r="N20" s="958">
        <f>M20*L20</f>
        <v>120</v>
      </c>
      <c r="P20" s="534"/>
      <c r="Q20" s="534"/>
      <c r="R20" s="553"/>
      <c r="S20" s="534"/>
      <c r="T20" s="534"/>
      <c r="U20" s="534"/>
      <c r="V20" s="534"/>
      <c r="W20" s="534"/>
      <c r="X20" s="896"/>
      <c r="Y20" s="724"/>
      <c r="Z20" s="724"/>
      <c r="AA20" s="724"/>
      <c r="AB20" s="724"/>
      <c r="AC20" s="724"/>
      <c r="AD20" s="724"/>
    </row>
    <row r="21" spans="1:30" ht="15">
      <c r="A21" s="534"/>
      <c r="B21" s="892"/>
      <c r="C21" s="534"/>
      <c r="H21" s="534"/>
      <c r="I21" s="534"/>
      <c r="J21" s="534" t="s">
        <v>849</v>
      </c>
      <c r="K21" s="534"/>
      <c r="L21" s="534"/>
      <c r="M21" s="534"/>
      <c r="N21" s="958">
        <v>300</v>
      </c>
      <c r="P21" s="534"/>
      <c r="Q21" s="534"/>
      <c r="R21" s="553"/>
      <c r="S21" s="534"/>
      <c r="T21" s="534"/>
      <c r="U21" s="534"/>
      <c r="V21" s="534"/>
      <c r="W21" s="534"/>
      <c r="X21" s="896"/>
      <c r="Y21" s="724"/>
      <c r="Z21" s="724"/>
      <c r="AA21" s="724"/>
      <c r="AB21" s="724"/>
      <c r="AC21" s="724"/>
      <c r="AD21" s="724"/>
    </row>
    <row r="22" spans="1:30" ht="15">
      <c r="A22" s="534"/>
      <c r="B22" s="892"/>
      <c r="C22" s="534"/>
      <c r="H22" s="534"/>
      <c r="I22" s="534"/>
      <c r="J22" s="534" t="s">
        <v>850</v>
      </c>
      <c r="K22" s="534"/>
      <c r="L22" s="553">
        <v>2</v>
      </c>
      <c r="M22" s="958">
        <v>100</v>
      </c>
      <c r="N22" s="958">
        <f>M22*L22</f>
        <v>200</v>
      </c>
      <c r="P22" s="534"/>
      <c r="Q22" s="534"/>
      <c r="R22" s="553"/>
      <c r="S22" s="534"/>
      <c r="T22" s="534"/>
      <c r="U22" s="534"/>
      <c r="V22" s="534"/>
      <c r="W22" s="534"/>
      <c r="X22" s="896"/>
      <c r="Y22" s="724"/>
      <c r="Z22" s="724"/>
      <c r="AA22" s="724"/>
      <c r="AB22" s="724"/>
      <c r="AC22" s="724"/>
      <c r="AD22" s="724"/>
    </row>
    <row r="23" spans="1:30" ht="15">
      <c r="A23" s="534"/>
      <c r="B23" s="892"/>
      <c r="C23" s="534"/>
      <c r="H23" s="534"/>
      <c r="I23" s="534"/>
      <c r="J23" s="534"/>
      <c r="K23" s="534"/>
      <c r="L23" s="534"/>
      <c r="M23" s="534"/>
      <c r="P23" s="534"/>
      <c r="Q23" s="534"/>
      <c r="R23" s="553"/>
      <c r="S23" s="534"/>
      <c r="T23" s="534"/>
      <c r="U23" s="534"/>
      <c r="V23" s="534"/>
      <c r="W23" s="534"/>
      <c r="X23" s="896"/>
      <c r="Y23" s="724"/>
      <c r="Z23" s="724"/>
      <c r="AA23" s="724"/>
      <c r="AB23" s="724"/>
      <c r="AC23" s="724"/>
      <c r="AD23" s="724"/>
    </row>
    <row r="24" spans="1:30" ht="15.75">
      <c r="A24" s="534"/>
      <c r="B24" s="892"/>
      <c r="C24" s="534"/>
      <c r="H24" s="534"/>
      <c r="I24" s="534"/>
      <c r="J24" s="534"/>
      <c r="K24" s="534"/>
      <c r="L24" s="534"/>
      <c r="M24" s="535" t="s">
        <v>852</v>
      </c>
      <c r="N24" s="962">
        <f>ROUND(SUM(N17:N22),-2)</f>
        <v>1200</v>
      </c>
      <c r="P24" s="534"/>
      <c r="Q24" s="534"/>
      <c r="R24" s="553"/>
      <c r="S24" s="534"/>
      <c r="T24" s="534"/>
      <c r="U24" s="534"/>
      <c r="V24" s="534"/>
      <c r="W24" s="534"/>
      <c r="X24" s="896"/>
      <c r="Y24" s="724"/>
      <c r="Z24" s="724"/>
      <c r="AA24" s="724"/>
      <c r="AB24" s="724"/>
      <c r="AC24" s="724"/>
      <c r="AD24" s="724"/>
    </row>
    <row r="25" spans="1:30" ht="15">
      <c r="A25" s="534"/>
      <c r="B25" s="892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  <c r="O25" s="534"/>
      <c r="P25" s="534"/>
      <c r="Q25" s="534"/>
      <c r="R25" s="553"/>
      <c r="S25" s="534"/>
      <c r="T25" s="534"/>
      <c r="U25" s="534"/>
      <c r="V25" s="534"/>
      <c r="W25" s="534"/>
      <c r="X25" s="896"/>
      <c r="Y25" s="724"/>
      <c r="Z25" s="724"/>
      <c r="AA25" s="724"/>
      <c r="AB25" s="724"/>
      <c r="AC25" s="724"/>
      <c r="AD25" s="724"/>
    </row>
    <row r="26" spans="1:30" ht="15">
      <c r="A26" s="534"/>
      <c r="B26" s="892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534"/>
      <c r="N26" s="534"/>
      <c r="O26" s="534"/>
      <c r="P26" s="534"/>
      <c r="Q26" s="534"/>
      <c r="R26" s="553"/>
      <c r="S26" s="534"/>
      <c r="T26" s="534"/>
      <c r="U26" s="534"/>
      <c r="V26" s="534"/>
      <c r="W26" s="534"/>
      <c r="X26" s="896"/>
      <c r="Y26" s="724"/>
      <c r="Z26" s="724"/>
      <c r="AA26" s="724"/>
      <c r="AB26" s="724"/>
      <c r="AC26" s="724"/>
      <c r="AD26" s="724"/>
    </row>
    <row r="27" spans="1:30" ht="16.5" thickBot="1">
      <c r="A27" s="534"/>
      <c r="B27" s="892"/>
      <c r="C27" s="534"/>
      <c r="D27" s="534"/>
      <c r="E27" s="534"/>
      <c r="F27" s="534"/>
      <c r="G27" s="534"/>
      <c r="H27" s="960" t="s">
        <v>853</v>
      </c>
      <c r="I27" s="961"/>
      <c r="J27" s="961"/>
      <c r="K27" s="961"/>
      <c r="L27" s="961"/>
      <c r="M27" s="961"/>
      <c r="N27" s="961"/>
      <c r="O27" s="961"/>
      <c r="P27" s="534"/>
      <c r="Q27" s="534"/>
      <c r="R27" s="553"/>
      <c r="S27" s="534"/>
      <c r="T27" s="534"/>
      <c r="U27" s="534"/>
      <c r="V27" s="534"/>
      <c r="W27" s="534"/>
      <c r="X27" s="896"/>
      <c r="Y27" s="724"/>
      <c r="Z27" s="724"/>
      <c r="AA27" s="724"/>
      <c r="AB27" s="724"/>
      <c r="AC27" s="724"/>
      <c r="AD27" s="724"/>
    </row>
    <row r="28" spans="1:30" ht="15">
      <c r="A28" s="534"/>
      <c r="B28" s="892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/>
      <c r="N28" s="534"/>
      <c r="O28" s="534"/>
      <c r="P28" s="534"/>
      <c r="Q28" s="534"/>
      <c r="R28" s="553"/>
      <c r="S28" s="534"/>
      <c r="T28" s="534"/>
      <c r="U28" s="534"/>
      <c r="V28" s="534"/>
      <c r="W28" s="534"/>
      <c r="X28" s="896"/>
      <c r="Y28" s="724"/>
      <c r="Z28" s="724"/>
      <c r="AA28" s="724"/>
      <c r="AB28" s="724"/>
      <c r="AC28" s="724"/>
      <c r="AD28" s="724"/>
    </row>
    <row r="29" spans="1:30" ht="15.75">
      <c r="A29" s="534"/>
      <c r="B29" s="892"/>
      <c r="C29" s="534"/>
      <c r="D29" s="534"/>
      <c r="E29" s="534"/>
      <c r="F29" s="534"/>
      <c r="G29" s="534"/>
      <c r="H29" s="534"/>
      <c r="I29" s="534"/>
      <c r="J29" s="534"/>
      <c r="K29" s="534"/>
      <c r="L29" s="959" t="s">
        <v>243</v>
      </c>
      <c r="M29" s="959" t="s">
        <v>846</v>
      </c>
      <c r="N29" s="959" t="s">
        <v>847</v>
      </c>
      <c r="P29" s="534"/>
      <c r="Q29" s="534"/>
      <c r="R29" s="553"/>
      <c r="S29" s="534"/>
      <c r="T29" s="534"/>
      <c r="U29" s="534"/>
      <c r="V29" s="534"/>
      <c r="W29" s="534"/>
      <c r="X29" s="896"/>
      <c r="Y29" s="724"/>
      <c r="Z29" s="724"/>
      <c r="AA29" s="724"/>
      <c r="AB29" s="724"/>
      <c r="AC29" s="724"/>
      <c r="AD29" s="724"/>
    </row>
    <row r="30" spans="1:30" ht="15">
      <c r="A30" s="534"/>
      <c r="B30" s="892"/>
      <c r="C30" s="534"/>
      <c r="D30" s="534"/>
      <c r="E30" s="534"/>
      <c r="F30" s="534"/>
      <c r="G30" s="534"/>
      <c r="H30" s="534"/>
      <c r="I30" s="534"/>
      <c r="J30" s="534" t="s">
        <v>843</v>
      </c>
      <c r="K30" s="534"/>
      <c r="L30" s="553">
        <f>4*8</f>
        <v>32</v>
      </c>
      <c r="M30" s="958">
        <v>10</v>
      </c>
      <c r="N30" s="958">
        <f t="shared" ref="N30:N35" si="0">M30*L30</f>
        <v>320</v>
      </c>
      <c r="P30" s="534"/>
      <c r="Q30" s="534"/>
      <c r="R30" s="553"/>
      <c r="S30" s="534"/>
      <c r="T30" s="534"/>
      <c r="U30" s="534"/>
      <c r="V30" s="534"/>
      <c r="W30" s="534"/>
      <c r="X30" s="896"/>
      <c r="Y30" s="724"/>
      <c r="Z30" s="724"/>
      <c r="AA30" s="724"/>
      <c r="AB30" s="724"/>
      <c r="AC30" s="724"/>
      <c r="AD30" s="724"/>
    </row>
    <row r="31" spans="1:30" ht="15">
      <c r="A31" s="534"/>
      <c r="B31" s="892"/>
      <c r="C31" s="534"/>
      <c r="D31" s="534"/>
      <c r="E31" s="534"/>
      <c r="F31" s="534"/>
      <c r="G31" s="534"/>
      <c r="H31" s="534"/>
      <c r="I31" s="534"/>
      <c r="J31" s="534" t="s">
        <v>844</v>
      </c>
      <c r="K31" s="534"/>
      <c r="L31" s="553">
        <v>6</v>
      </c>
      <c r="M31" s="958">
        <v>5</v>
      </c>
      <c r="N31" s="958">
        <f t="shared" si="0"/>
        <v>30</v>
      </c>
      <c r="P31" s="534"/>
      <c r="Q31" s="534"/>
      <c r="R31" s="553"/>
      <c r="S31" s="534"/>
      <c r="T31" s="534"/>
      <c r="U31" s="534"/>
      <c r="V31" s="534"/>
      <c r="W31" s="534"/>
      <c r="X31" s="896"/>
      <c r="Y31" s="724"/>
      <c r="Z31" s="724"/>
      <c r="AA31" s="724"/>
      <c r="AB31" s="724"/>
      <c r="AC31" s="724"/>
      <c r="AD31" s="724"/>
    </row>
    <row r="32" spans="1:30" ht="15">
      <c r="A32" s="534"/>
      <c r="B32" s="892"/>
      <c r="C32" s="534"/>
      <c r="D32" s="534"/>
      <c r="E32" s="534"/>
      <c r="F32" s="534"/>
      <c r="G32" s="534"/>
      <c r="H32" s="534"/>
      <c r="I32" s="534"/>
      <c r="J32" s="534" t="s">
        <v>845</v>
      </c>
      <c r="K32" s="534"/>
      <c r="L32" s="553">
        <f>3*4</f>
        <v>12</v>
      </c>
      <c r="M32" s="958">
        <v>50</v>
      </c>
      <c r="N32" s="958">
        <f t="shared" si="0"/>
        <v>600</v>
      </c>
      <c r="P32" s="534"/>
      <c r="Q32" s="534"/>
      <c r="R32" s="553"/>
      <c r="S32" s="534"/>
      <c r="T32" s="534"/>
      <c r="U32" s="534"/>
      <c r="V32" s="534"/>
      <c r="W32" s="534"/>
      <c r="X32" s="896"/>
      <c r="Y32" s="724"/>
      <c r="Z32" s="724"/>
      <c r="AA32" s="724"/>
      <c r="AB32" s="724"/>
      <c r="AC32" s="724"/>
      <c r="AD32" s="724"/>
    </row>
    <row r="33" spans="1:30" ht="15">
      <c r="A33" s="534"/>
      <c r="B33" s="892"/>
      <c r="C33" s="534"/>
      <c r="D33" s="534"/>
      <c r="E33" s="534"/>
      <c r="F33" s="534"/>
      <c r="G33" s="534"/>
      <c r="H33" s="534"/>
      <c r="I33" s="534"/>
      <c r="J33" s="534" t="s">
        <v>848</v>
      </c>
      <c r="K33" s="534"/>
      <c r="L33" s="553">
        <f>2*4</f>
        <v>8</v>
      </c>
      <c r="M33" s="958">
        <v>15</v>
      </c>
      <c r="N33" s="958">
        <f t="shared" si="0"/>
        <v>120</v>
      </c>
      <c r="P33" s="534"/>
      <c r="Q33" s="534"/>
      <c r="R33" s="553"/>
      <c r="S33" s="534"/>
      <c r="T33" s="534"/>
      <c r="U33" s="534"/>
      <c r="V33" s="534"/>
      <c r="W33" s="534"/>
      <c r="X33" s="896"/>
      <c r="Y33" s="724"/>
      <c r="Z33" s="724"/>
      <c r="AA33" s="724"/>
      <c r="AB33" s="724"/>
      <c r="AC33" s="724"/>
      <c r="AD33" s="724"/>
    </row>
    <row r="34" spans="1:30" ht="15">
      <c r="A34" s="534"/>
      <c r="B34" s="892"/>
      <c r="C34" s="534"/>
      <c r="D34" s="534"/>
      <c r="E34" s="534"/>
      <c r="F34" s="534"/>
      <c r="G34" s="534"/>
      <c r="H34" s="534"/>
      <c r="I34" s="534"/>
      <c r="J34" s="534" t="s">
        <v>849</v>
      </c>
      <c r="K34" s="534"/>
      <c r="L34" s="963">
        <f>(30+6+9)*2</f>
        <v>90</v>
      </c>
      <c r="M34" s="958">
        <v>1</v>
      </c>
      <c r="N34" s="958">
        <f t="shared" si="0"/>
        <v>90</v>
      </c>
      <c r="P34" s="534"/>
      <c r="Q34" s="534"/>
      <c r="R34" s="553"/>
      <c r="S34" s="534"/>
      <c r="T34" s="534"/>
      <c r="U34" s="534"/>
      <c r="V34" s="534"/>
      <c r="W34" s="534"/>
      <c r="X34" s="896"/>
      <c r="Y34" s="724"/>
      <c r="Z34" s="724"/>
      <c r="AA34" s="724"/>
      <c r="AB34" s="724"/>
      <c r="AC34" s="724"/>
      <c r="AD34" s="724"/>
    </row>
    <row r="35" spans="1:30" ht="15">
      <c r="A35" s="534"/>
      <c r="B35" s="892"/>
      <c r="C35" s="534"/>
      <c r="D35" s="534"/>
      <c r="E35" s="534"/>
      <c r="F35" s="534"/>
      <c r="G35" s="534"/>
      <c r="H35" s="534"/>
      <c r="I35" s="534"/>
      <c r="J35" s="534" t="s">
        <v>962</v>
      </c>
      <c r="K35" s="534"/>
      <c r="L35" s="553">
        <v>2</v>
      </c>
      <c r="M35" s="958">
        <v>100</v>
      </c>
      <c r="N35" s="958">
        <f t="shared" si="0"/>
        <v>200</v>
      </c>
      <c r="P35" s="534"/>
      <c r="Q35" s="534"/>
      <c r="R35" s="553"/>
      <c r="S35" s="534"/>
      <c r="T35" s="534"/>
      <c r="U35" s="534"/>
      <c r="V35" s="534"/>
      <c r="W35" s="534"/>
      <c r="X35" s="896"/>
      <c r="Y35" s="724"/>
      <c r="Z35" s="724"/>
      <c r="AA35" s="724"/>
      <c r="AB35" s="724"/>
      <c r="AC35" s="724"/>
      <c r="AD35" s="724"/>
    </row>
    <row r="36" spans="1:30" ht="15">
      <c r="A36" s="534"/>
      <c r="B36" s="892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4"/>
      <c r="P36" s="534"/>
      <c r="Q36" s="534"/>
      <c r="R36" s="553"/>
      <c r="S36" s="534"/>
      <c r="T36" s="534"/>
      <c r="U36" s="534"/>
      <c r="V36" s="534"/>
      <c r="W36" s="534"/>
      <c r="X36" s="896"/>
      <c r="Y36" s="724"/>
      <c r="Z36" s="724"/>
      <c r="AA36" s="724"/>
      <c r="AB36" s="724"/>
      <c r="AC36" s="724"/>
      <c r="AD36" s="724"/>
    </row>
    <row r="37" spans="1:30" ht="15.75">
      <c r="A37" s="534"/>
      <c r="B37" s="892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5" t="s">
        <v>852</v>
      </c>
      <c r="N37" s="962">
        <f>ROUND(SUM(N30:N35),-2)</f>
        <v>1400</v>
      </c>
      <c r="P37" s="534"/>
      <c r="Q37" s="534"/>
      <c r="R37" s="553"/>
      <c r="S37" s="534"/>
      <c r="T37" s="534"/>
      <c r="U37" s="534"/>
      <c r="V37" s="534"/>
      <c r="W37" s="534"/>
      <c r="X37" s="896"/>
      <c r="Y37" s="724"/>
      <c r="Z37" s="724"/>
      <c r="AA37" s="724"/>
      <c r="AB37" s="724"/>
      <c r="AC37" s="724"/>
      <c r="AD37" s="724"/>
    </row>
    <row r="38" spans="1:30" ht="15">
      <c r="A38" s="534"/>
      <c r="B38" s="892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53"/>
      <c r="S38" s="534"/>
      <c r="T38" s="534"/>
      <c r="U38" s="534"/>
      <c r="V38" s="534"/>
      <c r="W38" s="534"/>
      <c r="X38" s="896"/>
      <c r="Y38" s="724"/>
      <c r="Z38" s="724"/>
      <c r="AA38" s="724"/>
      <c r="AB38" s="724"/>
      <c r="AC38" s="724"/>
      <c r="AD38" s="724"/>
    </row>
    <row r="39" spans="1:30" ht="15">
      <c r="A39" s="534"/>
      <c r="B39" s="892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53"/>
      <c r="S39" s="534"/>
      <c r="T39" s="534"/>
      <c r="U39" s="534"/>
      <c r="V39" s="534"/>
      <c r="W39" s="534"/>
      <c r="X39" s="896"/>
      <c r="Y39" s="724"/>
      <c r="Z39" s="724"/>
      <c r="AA39" s="724"/>
      <c r="AB39" s="724"/>
      <c r="AC39" s="724"/>
      <c r="AD39" s="724"/>
    </row>
    <row r="40" spans="1:30" ht="15">
      <c r="A40" s="534"/>
      <c r="B40" s="892"/>
      <c r="C40" s="534"/>
      <c r="D40" s="534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>
        <f>300/15.6</f>
        <v>19.23076923076923</v>
      </c>
      <c r="P40" s="534"/>
      <c r="Q40" s="534"/>
      <c r="R40" s="553"/>
      <c r="S40" s="534"/>
      <c r="T40" s="534"/>
      <c r="U40" s="534"/>
      <c r="V40" s="534"/>
      <c r="W40" s="534"/>
      <c r="X40" s="896"/>
      <c r="Y40" s="724"/>
      <c r="Z40" s="724"/>
      <c r="AA40" s="724"/>
      <c r="AB40" s="724"/>
      <c r="AC40" s="724"/>
      <c r="AD40" s="724"/>
    </row>
    <row r="41" spans="1:30" ht="15.75">
      <c r="A41" s="534"/>
      <c r="B41" s="892"/>
      <c r="C41" s="534"/>
      <c r="D41" s="534"/>
      <c r="E41" s="944" t="s">
        <v>838</v>
      </c>
      <c r="F41" s="534"/>
      <c r="G41" s="534"/>
      <c r="H41" s="534"/>
      <c r="I41" s="534"/>
      <c r="J41" s="534"/>
      <c r="K41" s="534"/>
      <c r="L41" s="534"/>
      <c r="M41" s="534"/>
      <c r="N41" s="534"/>
      <c r="O41" s="534"/>
      <c r="P41" s="534"/>
      <c r="Q41" s="534"/>
      <c r="R41" s="553"/>
      <c r="S41" s="534"/>
      <c r="T41" s="534"/>
      <c r="U41" s="534"/>
      <c r="V41" s="534"/>
      <c r="W41" s="534"/>
      <c r="X41" s="896"/>
      <c r="Y41" s="724"/>
      <c r="Z41" s="724"/>
      <c r="AA41" s="724"/>
      <c r="AB41" s="724"/>
      <c r="AC41" s="724"/>
      <c r="AD41" s="724"/>
    </row>
    <row r="42" spans="1:30" ht="15.75">
      <c r="A42" s="534"/>
      <c r="B42" s="892"/>
      <c r="C42" s="534"/>
      <c r="D42" s="534"/>
      <c r="E42" s="534"/>
      <c r="F42" s="534"/>
      <c r="G42" s="534"/>
      <c r="H42" s="534"/>
      <c r="K42" s="534"/>
      <c r="L42" s="955">
        <v>300</v>
      </c>
      <c r="M42" s="534"/>
      <c r="N42" s="534"/>
      <c r="O42" s="534"/>
      <c r="P42" s="534"/>
      <c r="Q42" s="534"/>
      <c r="R42" s="553"/>
      <c r="S42" s="534"/>
      <c r="T42" s="534"/>
      <c r="U42" s="534"/>
      <c r="V42" s="534"/>
      <c r="W42" s="534"/>
      <c r="X42" s="896"/>
      <c r="Y42" s="724"/>
      <c r="Z42" s="724"/>
      <c r="AA42" s="724"/>
      <c r="AB42" s="724"/>
      <c r="AC42" s="724"/>
      <c r="AD42" s="724"/>
    </row>
    <row r="43" spans="1:30" ht="15">
      <c r="A43" s="534"/>
      <c r="B43" s="892"/>
      <c r="C43" s="534"/>
      <c r="D43" s="534"/>
      <c r="E43" s="534"/>
      <c r="F43" s="534"/>
      <c r="G43" s="534"/>
      <c r="H43" s="534"/>
      <c r="K43" s="535" t="s">
        <v>834</v>
      </c>
      <c r="L43" s="534"/>
      <c r="M43" s="947" t="s">
        <v>835</v>
      </c>
      <c r="N43" s="534"/>
      <c r="O43" s="534"/>
      <c r="P43" s="534"/>
      <c r="Q43" s="534"/>
      <c r="R43" s="553"/>
      <c r="S43" s="534"/>
      <c r="T43" s="534"/>
      <c r="U43" s="534"/>
      <c r="V43" s="534"/>
      <c r="W43" s="534"/>
      <c r="X43" s="896"/>
      <c r="Y43" s="724"/>
      <c r="Z43" s="724"/>
      <c r="AA43" s="724"/>
      <c r="AB43" s="724"/>
      <c r="AC43" s="724"/>
      <c r="AD43" s="724"/>
    </row>
    <row r="44" spans="1:30" ht="15.75">
      <c r="A44" s="534"/>
      <c r="B44" s="892"/>
      <c r="C44" s="534"/>
      <c r="D44" s="534"/>
      <c r="E44" s="534"/>
      <c r="F44" s="534"/>
      <c r="G44" s="534"/>
      <c r="H44" s="534"/>
      <c r="K44" s="916">
        <v>1.22</v>
      </c>
      <c r="L44" s="534"/>
      <c r="M44" s="916">
        <v>1.22</v>
      </c>
      <c r="N44" s="534"/>
      <c r="O44" s="534"/>
      <c r="P44" s="534" t="s">
        <v>836</v>
      </c>
      <c r="Q44" s="534"/>
      <c r="R44" s="553"/>
      <c r="S44" s="534"/>
      <c r="T44" s="534"/>
      <c r="U44" s="534"/>
      <c r="V44" s="534"/>
      <c r="W44" s="534"/>
      <c r="X44" s="896"/>
      <c r="Y44" s="724"/>
      <c r="Z44" s="724"/>
      <c r="AA44" s="724"/>
      <c r="AB44" s="724"/>
      <c r="AC44" s="724"/>
      <c r="AD44" s="724"/>
    </row>
    <row r="45" spans="1:30" ht="15.75">
      <c r="A45" s="534"/>
      <c r="B45" s="892"/>
      <c r="C45" s="534"/>
      <c r="D45" s="534"/>
      <c r="E45" s="534"/>
      <c r="F45" s="534"/>
      <c r="G45" s="534"/>
      <c r="H45" s="534"/>
      <c r="K45" s="917">
        <v>4.5</v>
      </c>
      <c r="L45" s="534"/>
      <c r="M45" s="917">
        <v>4.5</v>
      </c>
      <c r="N45" s="534"/>
      <c r="O45" s="534"/>
      <c r="P45" s="534"/>
      <c r="Q45" s="534"/>
      <c r="R45" s="553"/>
      <c r="S45" s="534"/>
      <c r="T45" s="534"/>
      <c r="U45" s="534"/>
      <c r="V45" s="534"/>
      <c r="W45" s="534"/>
      <c r="X45" s="896"/>
      <c r="Y45" s="724"/>
      <c r="Z45" s="724"/>
      <c r="AA45" s="724"/>
      <c r="AB45" s="724"/>
      <c r="AC45" s="724"/>
      <c r="AD45" s="724"/>
    </row>
    <row r="46" spans="1:30" ht="15">
      <c r="A46" s="534"/>
      <c r="B46" s="892"/>
      <c r="C46" s="534"/>
      <c r="D46" s="534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53"/>
      <c r="S46" s="534"/>
      <c r="T46" s="534"/>
      <c r="U46" s="534"/>
      <c r="V46" s="534"/>
      <c r="W46" s="534"/>
      <c r="X46" s="896"/>
      <c r="Y46" s="724"/>
      <c r="Z46" s="724"/>
      <c r="AA46" s="724"/>
      <c r="AB46" s="724"/>
      <c r="AC46" s="724"/>
      <c r="AD46" s="724"/>
    </row>
    <row r="47" spans="1:30" ht="15.75">
      <c r="A47" s="534"/>
      <c r="B47" s="892"/>
      <c r="C47" s="534"/>
      <c r="D47" s="534"/>
      <c r="E47" s="944" t="s">
        <v>839</v>
      </c>
      <c r="F47" s="534"/>
      <c r="G47" s="534"/>
      <c r="H47" s="534"/>
      <c r="I47" s="534"/>
      <c r="J47" s="534"/>
      <c r="K47" s="534"/>
      <c r="L47" s="534"/>
      <c r="M47" s="534"/>
      <c r="N47" s="534"/>
      <c r="O47" s="534"/>
      <c r="P47" s="534"/>
      <c r="Q47" s="534"/>
      <c r="R47" s="553"/>
      <c r="S47" s="534"/>
      <c r="T47" s="534"/>
      <c r="U47" s="534"/>
      <c r="V47" s="534"/>
      <c r="W47" s="534"/>
      <c r="X47" s="896"/>
      <c r="Y47" s="724"/>
      <c r="Z47" s="724"/>
      <c r="AA47" s="724"/>
      <c r="AB47" s="724"/>
      <c r="AC47" s="724"/>
      <c r="AD47" s="724"/>
    </row>
    <row r="48" spans="1:30" ht="15">
      <c r="A48" s="534"/>
      <c r="B48" s="892"/>
      <c r="C48" s="534"/>
      <c r="D48" s="534"/>
      <c r="E48" s="534"/>
      <c r="F48" s="534"/>
      <c r="G48" s="534"/>
      <c r="H48" s="534"/>
      <c r="L48" s="534"/>
      <c r="M48" s="534"/>
      <c r="N48" s="534"/>
      <c r="O48" s="534"/>
      <c r="P48" s="534"/>
      <c r="Q48" s="534"/>
      <c r="R48" s="553"/>
      <c r="S48" s="534"/>
      <c r="T48" s="534"/>
      <c r="U48" s="534"/>
      <c r="V48" s="534"/>
      <c r="W48" s="534"/>
      <c r="X48" s="896"/>
      <c r="Y48" s="724"/>
      <c r="Z48" s="724"/>
      <c r="AA48" s="724"/>
      <c r="AB48" s="724"/>
      <c r="AC48" s="724"/>
      <c r="AD48" s="724"/>
    </row>
    <row r="49" spans="1:30" ht="15.75">
      <c r="A49" s="534"/>
      <c r="B49" s="892"/>
      <c r="C49" s="534"/>
      <c r="D49" s="534"/>
      <c r="E49" s="534"/>
      <c r="F49" s="534"/>
      <c r="G49" s="534"/>
      <c r="H49" s="534"/>
      <c r="K49" s="534"/>
      <c r="L49" s="955">
        <v>400</v>
      </c>
      <c r="M49" s="534"/>
      <c r="N49" s="534"/>
      <c r="O49" s="534"/>
      <c r="P49" s="534"/>
      <c r="Q49" s="534"/>
      <c r="R49" s="553"/>
      <c r="S49" s="534"/>
      <c r="T49" s="534"/>
      <c r="U49" s="534"/>
      <c r="V49" s="534"/>
      <c r="W49" s="534"/>
      <c r="X49" s="896"/>
      <c r="Y49" s="724"/>
      <c r="Z49" s="724"/>
      <c r="AA49" s="724"/>
      <c r="AB49" s="724"/>
      <c r="AC49" s="724"/>
      <c r="AD49" s="724"/>
    </row>
    <row r="50" spans="1:30" ht="15">
      <c r="A50" s="534"/>
      <c r="B50" s="892"/>
      <c r="C50" s="534"/>
      <c r="D50" s="534"/>
      <c r="E50" s="534"/>
      <c r="F50" s="534"/>
      <c r="G50" s="534"/>
      <c r="H50" s="534"/>
      <c r="I50" s="534"/>
      <c r="J50" s="534"/>
      <c r="K50" s="535" t="s">
        <v>835</v>
      </c>
      <c r="L50" s="534"/>
      <c r="M50" s="945" t="s">
        <v>835</v>
      </c>
      <c r="N50" s="534"/>
      <c r="O50" s="534"/>
      <c r="P50" s="534"/>
      <c r="Q50" s="534"/>
      <c r="R50" s="553"/>
      <c r="S50" s="534"/>
      <c r="T50" s="534"/>
      <c r="U50" s="534"/>
      <c r="V50" s="534"/>
      <c r="W50" s="534"/>
      <c r="X50" s="896"/>
      <c r="Y50" s="724"/>
      <c r="Z50" s="724"/>
      <c r="AA50" s="724"/>
      <c r="AB50" s="724"/>
      <c r="AC50" s="724"/>
      <c r="AD50" s="724"/>
    </row>
    <row r="51" spans="1:30" ht="15.75">
      <c r="A51" s="534"/>
      <c r="B51" s="892"/>
      <c r="C51" s="534"/>
      <c r="D51" s="534"/>
      <c r="E51" s="534"/>
      <c r="F51" s="534"/>
      <c r="G51" s="534"/>
      <c r="H51" s="534"/>
      <c r="I51" s="534"/>
      <c r="J51" s="534"/>
      <c r="K51" s="916">
        <v>1.22</v>
      </c>
      <c r="L51" s="534"/>
      <c r="M51" s="916">
        <v>1.22</v>
      </c>
      <c r="N51" s="534"/>
      <c r="O51" s="534"/>
      <c r="P51" s="534" t="s">
        <v>837</v>
      </c>
      <c r="Q51" s="534"/>
      <c r="R51" s="553"/>
      <c r="S51" s="534"/>
      <c r="T51" s="534"/>
      <c r="U51" s="534"/>
      <c r="V51" s="534"/>
      <c r="W51" s="534"/>
      <c r="X51" s="896"/>
      <c r="Y51" s="724"/>
      <c r="Z51" s="724"/>
      <c r="AA51" s="724"/>
      <c r="AB51" s="724"/>
      <c r="AC51" s="724"/>
      <c r="AD51" s="724"/>
    </row>
    <row r="52" spans="1:30" ht="15.75">
      <c r="A52" s="534"/>
      <c r="B52" s="892"/>
      <c r="C52" s="534"/>
      <c r="D52" s="534"/>
      <c r="E52" s="534"/>
      <c r="F52" s="534"/>
      <c r="G52" s="534"/>
      <c r="H52" s="534"/>
      <c r="I52" s="534"/>
      <c r="J52" s="534"/>
      <c r="K52" s="917">
        <v>4.5</v>
      </c>
      <c r="L52" s="534"/>
      <c r="M52" s="946">
        <v>4.62</v>
      </c>
      <c r="N52" s="534"/>
      <c r="O52" s="534"/>
      <c r="P52" s="534"/>
      <c r="Q52" s="534"/>
      <c r="R52" s="553"/>
      <c r="S52" s="534"/>
      <c r="T52" s="534"/>
      <c r="U52" s="534"/>
      <c r="V52" s="534"/>
      <c r="W52" s="534"/>
      <c r="X52" s="896"/>
      <c r="Y52" s="724"/>
      <c r="Z52" s="724"/>
      <c r="AA52" s="724"/>
      <c r="AB52" s="724"/>
      <c r="AC52" s="724"/>
      <c r="AD52" s="724"/>
    </row>
    <row r="53" spans="1:30" ht="15">
      <c r="A53" s="534"/>
      <c r="B53" s="892"/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53"/>
      <c r="S53" s="534"/>
      <c r="T53" s="534"/>
      <c r="U53" s="534"/>
      <c r="V53" s="534"/>
      <c r="W53" s="534"/>
      <c r="X53" s="896"/>
      <c r="Y53" s="724"/>
      <c r="Z53" s="724"/>
      <c r="AA53" s="724"/>
      <c r="AB53" s="724"/>
      <c r="AC53" s="724"/>
      <c r="AD53" s="724"/>
    </row>
    <row r="54" spans="1:30" ht="15">
      <c r="A54" s="534"/>
      <c r="B54" s="892"/>
      <c r="C54" s="534"/>
      <c r="D54" s="534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53"/>
      <c r="S54" s="534"/>
      <c r="T54" s="534"/>
      <c r="U54" s="534"/>
      <c r="V54" s="534"/>
      <c r="W54" s="534"/>
      <c r="X54" s="896"/>
      <c r="Y54" s="724"/>
      <c r="Z54" s="724"/>
      <c r="AA54" s="724"/>
      <c r="AB54" s="724"/>
      <c r="AC54" s="724"/>
      <c r="AD54" s="724"/>
    </row>
    <row r="55" spans="1:30" ht="15">
      <c r="A55" s="534"/>
      <c r="B55" s="892"/>
      <c r="C55" s="534"/>
      <c r="D55" s="534"/>
      <c r="E55" s="534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53"/>
      <c r="S55" s="534"/>
      <c r="T55" s="534"/>
      <c r="U55" s="534"/>
      <c r="V55" s="534"/>
      <c r="W55" s="534"/>
      <c r="X55" s="896"/>
      <c r="Y55" s="724"/>
      <c r="Z55" s="724"/>
      <c r="AA55" s="724"/>
      <c r="AB55" s="724"/>
      <c r="AC55" s="724"/>
      <c r="AD55" s="724"/>
    </row>
    <row r="56" spans="1:30" ht="15.75">
      <c r="A56" s="534"/>
      <c r="B56" s="892"/>
      <c r="C56" s="534"/>
      <c r="D56" s="913" t="s">
        <v>825</v>
      </c>
      <c r="E56" s="913"/>
      <c r="F56" s="913"/>
      <c r="G56" s="913"/>
      <c r="H56" s="913"/>
      <c r="I56" s="913"/>
      <c r="J56" s="913"/>
      <c r="K56" s="913"/>
      <c r="L56" s="913"/>
      <c r="M56" s="913"/>
      <c r="N56" s="913"/>
      <c r="O56" s="913"/>
      <c r="P56" s="913"/>
      <c r="Q56" s="914"/>
      <c r="R56" s="914"/>
      <c r="S56" s="915"/>
      <c r="T56" s="534"/>
      <c r="U56" s="534"/>
      <c r="V56" s="534"/>
      <c r="W56" s="534"/>
      <c r="X56" s="896"/>
      <c r="Y56" s="724"/>
      <c r="Z56" s="724"/>
      <c r="AA56" s="724"/>
      <c r="AB56" s="724"/>
      <c r="AC56" s="724"/>
      <c r="AD56" s="724"/>
    </row>
    <row r="57" spans="1:30" ht="15.75">
      <c r="A57" s="534"/>
      <c r="B57" s="892"/>
      <c r="C57" s="534"/>
      <c r="D57" s="536"/>
      <c r="E57" s="536"/>
      <c r="F57" s="536"/>
      <c r="G57" s="536"/>
      <c r="H57" s="536"/>
      <c r="I57" s="536"/>
      <c r="J57" s="536"/>
      <c r="K57" s="536"/>
      <c r="L57" s="536"/>
      <c r="M57" s="536"/>
      <c r="N57" s="536"/>
      <c r="O57" s="536"/>
      <c r="P57" s="536"/>
      <c r="Q57" s="534"/>
      <c r="R57" s="534"/>
      <c r="S57" s="534"/>
      <c r="T57" s="534"/>
      <c r="U57" s="534"/>
      <c r="V57" s="534"/>
      <c r="W57" s="534"/>
      <c r="X57" s="896"/>
      <c r="Y57" s="724"/>
      <c r="Z57" s="724"/>
      <c r="AA57" s="724"/>
      <c r="AB57" s="724"/>
      <c r="AC57" s="724"/>
      <c r="AD57" s="724"/>
    </row>
    <row r="58" spans="1:30" ht="15.75">
      <c r="A58" s="534"/>
      <c r="B58" s="892"/>
      <c r="C58" s="534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4"/>
      <c r="R58" s="534"/>
      <c r="S58" s="534"/>
      <c r="T58" s="534"/>
      <c r="U58" s="534"/>
      <c r="V58" s="534"/>
      <c r="W58" s="534"/>
      <c r="X58" s="896"/>
      <c r="Y58" s="724"/>
      <c r="Z58" s="724"/>
      <c r="AA58" s="724"/>
      <c r="AB58" s="724"/>
      <c r="AC58" s="724"/>
      <c r="AD58" s="724"/>
    </row>
    <row r="59" spans="1:30" ht="15.75">
      <c r="A59" s="534"/>
      <c r="B59" s="892"/>
      <c r="C59" s="534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36"/>
      <c r="Q59" s="534"/>
      <c r="R59" s="534"/>
      <c r="S59" s="534"/>
      <c r="T59" s="534"/>
      <c r="U59" s="534"/>
      <c r="V59" s="534"/>
      <c r="W59" s="534"/>
      <c r="X59" s="896"/>
      <c r="Y59" s="724"/>
      <c r="Z59" s="724"/>
      <c r="AA59" s="724"/>
      <c r="AB59" s="724"/>
      <c r="AC59" s="724"/>
      <c r="AD59" s="724"/>
    </row>
    <row r="60" spans="1:30" ht="15.75">
      <c r="A60" s="534"/>
      <c r="B60" s="892"/>
      <c r="C60" s="534"/>
      <c r="D60" s="536"/>
      <c r="E60" s="536"/>
      <c r="F60" s="536"/>
      <c r="G60" s="612" t="s">
        <v>821</v>
      </c>
      <c r="H60" s="612"/>
      <c r="I60" s="515"/>
      <c r="K60" s="948">
        <v>121200</v>
      </c>
      <c r="L60" s="536"/>
      <c r="M60" s="536"/>
      <c r="N60" s="536"/>
      <c r="O60" s="536"/>
      <c r="P60" s="536"/>
      <c r="Q60" s="534"/>
      <c r="R60" s="534"/>
      <c r="S60" s="534"/>
      <c r="T60" s="534"/>
      <c r="U60" s="534"/>
      <c r="V60" s="534"/>
      <c r="W60" s="534"/>
      <c r="X60" s="896"/>
      <c r="Y60" s="724"/>
      <c r="Z60" s="724"/>
      <c r="AA60" s="724"/>
      <c r="AB60" s="724"/>
      <c r="AC60" s="724"/>
      <c r="AD60" s="724"/>
    </row>
    <row r="61" spans="1:30" ht="15.75">
      <c r="A61" s="528"/>
      <c r="B61" s="892"/>
      <c r="C61" s="534"/>
      <c r="D61" s="536"/>
      <c r="E61" s="536"/>
      <c r="F61" s="536"/>
      <c r="G61" s="612"/>
      <c r="H61" s="612"/>
      <c r="I61" s="515"/>
      <c r="K61" s="949">
        <v>6.0000000000000001E-3</v>
      </c>
      <c r="L61" s="612" t="s">
        <v>822</v>
      </c>
      <c r="M61" s="536"/>
      <c r="N61" s="536"/>
      <c r="O61" s="536"/>
      <c r="P61" s="536"/>
      <c r="Q61" s="534"/>
      <c r="R61" s="534"/>
      <c r="S61" s="534"/>
      <c r="T61" s="534"/>
      <c r="U61" s="534"/>
      <c r="V61" s="534"/>
      <c r="W61" s="534"/>
      <c r="X61" s="896"/>
    </row>
    <row r="62" spans="1:30" ht="15.75">
      <c r="A62" s="528"/>
      <c r="B62" s="892"/>
      <c r="C62" s="534"/>
      <c r="D62" s="536"/>
      <c r="E62" s="536"/>
      <c r="F62" s="536"/>
      <c r="G62" s="612" t="s">
        <v>832</v>
      </c>
      <c r="H62" s="612"/>
      <c r="I62" s="515"/>
      <c r="K62" s="948">
        <f>K61*K60</f>
        <v>727.2</v>
      </c>
      <c r="L62" s="536"/>
      <c r="M62" s="536"/>
      <c r="N62" s="536"/>
      <c r="O62" s="536"/>
      <c r="P62" s="536"/>
      <c r="Q62" s="534"/>
      <c r="R62" s="534"/>
      <c r="S62" s="534"/>
      <c r="T62" s="534"/>
      <c r="U62" s="534"/>
      <c r="V62" s="534"/>
      <c r="W62" s="534"/>
      <c r="X62" s="896"/>
    </row>
    <row r="63" spans="1:30" ht="15.75">
      <c r="A63" s="528"/>
      <c r="B63" s="892"/>
      <c r="C63" s="534"/>
      <c r="D63" s="536"/>
      <c r="E63" s="536"/>
      <c r="F63" s="536"/>
      <c r="G63" s="612" t="s">
        <v>823</v>
      </c>
      <c r="H63" s="612"/>
      <c r="I63" s="515"/>
      <c r="K63" s="950">
        <v>1.22</v>
      </c>
      <c r="L63" s="536"/>
      <c r="M63" s="536"/>
      <c r="N63" s="536"/>
      <c r="O63" s="536"/>
      <c r="P63" s="536"/>
      <c r="Q63" s="534"/>
      <c r="R63" s="534"/>
      <c r="S63" s="534"/>
      <c r="T63" s="534"/>
      <c r="U63" s="534"/>
      <c r="V63" s="534"/>
      <c r="W63" s="534"/>
      <c r="X63" s="896"/>
    </row>
    <row r="64" spans="1:30" ht="15.75">
      <c r="A64" s="528"/>
      <c r="B64" s="892"/>
      <c r="C64" s="534"/>
      <c r="D64" s="536"/>
      <c r="E64" s="536"/>
      <c r="F64" s="536"/>
      <c r="G64" s="612" t="s">
        <v>824</v>
      </c>
      <c r="H64" s="612"/>
      <c r="I64" s="515"/>
      <c r="K64" s="951">
        <v>4.42</v>
      </c>
      <c r="L64" s="536"/>
      <c r="M64" s="536"/>
      <c r="N64" s="536"/>
      <c r="O64" s="536"/>
      <c r="P64" s="536"/>
      <c r="Q64" s="534"/>
      <c r="R64" s="534"/>
      <c r="S64" s="534"/>
      <c r="T64" s="534"/>
      <c r="U64" s="534"/>
      <c r="V64" s="534"/>
      <c r="W64" s="534"/>
      <c r="X64" s="896"/>
    </row>
    <row r="65" spans="1:24" ht="15.75">
      <c r="A65" s="528"/>
      <c r="B65" s="892"/>
      <c r="C65" s="534"/>
      <c r="D65" s="536"/>
      <c r="E65" s="536"/>
      <c r="F65" s="536"/>
      <c r="G65" s="612" t="s">
        <v>242</v>
      </c>
      <c r="H65" s="612"/>
      <c r="I65" s="515"/>
      <c r="K65" s="952">
        <f>[9]!Rho_(11,K63,K64)</f>
        <v>120.85070195765526</v>
      </c>
      <c r="L65" s="536"/>
      <c r="M65" s="536"/>
      <c r="N65" s="536"/>
      <c r="O65" s="536"/>
      <c r="P65" s="536"/>
      <c r="Q65" s="534"/>
      <c r="R65" s="534"/>
      <c r="S65" s="534"/>
      <c r="T65" s="534"/>
      <c r="U65" s="534"/>
      <c r="V65" s="534"/>
      <c r="W65" s="534"/>
      <c r="X65" s="896"/>
    </row>
    <row r="66" spans="1:24" ht="15.75">
      <c r="A66" s="528"/>
      <c r="B66" s="892"/>
      <c r="C66" s="534"/>
      <c r="D66" s="536"/>
      <c r="E66" s="536"/>
      <c r="F66" s="536"/>
      <c r="G66" s="612" t="s">
        <v>316</v>
      </c>
      <c r="H66" s="612"/>
      <c r="I66" s="515"/>
      <c r="K66" s="953">
        <f>K65*K62/(24*3600)</f>
        <v>1.0171600748102652</v>
      </c>
      <c r="L66" s="536"/>
      <c r="M66" s="536"/>
      <c r="N66" s="536"/>
      <c r="O66" s="536"/>
      <c r="P66" s="536"/>
      <c r="Q66" s="534"/>
      <c r="R66" s="534"/>
      <c r="S66" s="534"/>
      <c r="T66" s="534"/>
      <c r="U66" s="534"/>
      <c r="V66" s="534"/>
      <c r="W66" s="534"/>
      <c r="X66" s="896"/>
    </row>
    <row r="67" spans="1:24" ht="15.75">
      <c r="A67" s="528"/>
      <c r="B67" s="892"/>
      <c r="C67" s="534"/>
      <c r="D67" s="536"/>
      <c r="E67" s="536"/>
      <c r="F67" s="536"/>
      <c r="G67" s="612"/>
      <c r="H67" s="612"/>
      <c r="I67" s="515"/>
      <c r="K67" s="612"/>
      <c r="L67" s="536"/>
      <c r="M67" s="536"/>
      <c r="N67" s="536"/>
      <c r="O67" s="536"/>
      <c r="P67" s="536"/>
      <c r="Q67" s="534"/>
      <c r="R67" s="534"/>
      <c r="S67" s="534"/>
      <c r="T67" s="534"/>
      <c r="U67" s="534"/>
      <c r="V67" s="534"/>
      <c r="W67" s="534"/>
      <c r="X67" s="896"/>
    </row>
    <row r="68" spans="1:24" ht="15.75">
      <c r="A68" s="528"/>
      <c r="B68" s="892"/>
      <c r="C68" s="534"/>
      <c r="D68" s="536"/>
      <c r="E68" s="536"/>
      <c r="F68" s="536"/>
      <c r="G68" s="612" t="s">
        <v>831</v>
      </c>
      <c r="H68" s="612"/>
      <c r="I68" s="515"/>
      <c r="K68" s="953">
        <f>K66*4</f>
        <v>4.0686402992410606</v>
      </c>
      <c r="L68" s="536"/>
      <c r="M68" s="536"/>
      <c r="N68" s="536"/>
      <c r="O68" s="536"/>
      <c r="P68" s="536"/>
      <c r="Q68" s="534"/>
      <c r="R68" s="534"/>
      <c r="S68" s="534"/>
      <c r="T68" s="534"/>
      <c r="U68" s="534"/>
      <c r="V68" s="534"/>
      <c r="W68" s="534"/>
      <c r="X68" s="896"/>
    </row>
    <row r="69" spans="1:24" ht="15.75">
      <c r="A69" s="528"/>
      <c r="B69" s="892"/>
      <c r="C69" s="534"/>
      <c r="D69" s="536"/>
      <c r="E69" s="536"/>
      <c r="F69" s="536"/>
      <c r="G69" s="612" t="s">
        <v>245</v>
      </c>
      <c r="H69" s="612"/>
      <c r="I69" s="515"/>
      <c r="K69" s="954">
        <v>20</v>
      </c>
      <c r="L69" s="536"/>
      <c r="M69" s="536"/>
      <c r="N69" s="536"/>
      <c r="O69" s="536"/>
      <c r="P69" s="536"/>
      <c r="Q69" s="534"/>
      <c r="R69" s="534"/>
      <c r="S69" s="534"/>
      <c r="T69" s="534"/>
      <c r="U69" s="534"/>
      <c r="V69" s="534"/>
      <c r="W69" s="534"/>
      <c r="X69" s="896"/>
    </row>
    <row r="70" spans="1:24" ht="15.75">
      <c r="A70" s="528"/>
      <c r="B70" s="892"/>
      <c r="C70" s="534"/>
      <c r="D70" s="536"/>
      <c r="E70" s="536"/>
      <c r="F70" s="536"/>
      <c r="G70" s="536" t="s">
        <v>960</v>
      </c>
      <c r="H70" s="536"/>
      <c r="K70" s="943">
        <f>K69*K68</f>
        <v>81.372805984821213</v>
      </c>
      <c r="L70" s="536"/>
      <c r="M70" s="536"/>
      <c r="N70" s="536"/>
      <c r="O70" s="536"/>
      <c r="P70" s="536"/>
      <c r="Q70" s="534"/>
      <c r="R70" s="534"/>
      <c r="S70" s="534"/>
      <c r="T70" s="534"/>
      <c r="U70" s="534"/>
      <c r="V70" s="534"/>
      <c r="W70" s="534"/>
      <c r="X70" s="896"/>
    </row>
    <row r="71" spans="1:24" ht="15.75">
      <c r="A71" s="528"/>
      <c r="B71" s="892"/>
      <c r="C71" s="534"/>
      <c r="D71" s="536"/>
      <c r="E71" s="536"/>
      <c r="F71" s="536"/>
      <c r="G71" s="536"/>
      <c r="H71" s="536"/>
      <c r="K71" s="536"/>
      <c r="L71" s="536"/>
      <c r="M71" s="536"/>
      <c r="N71" s="536"/>
      <c r="O71" s="536"/>
      <c r="P71" s="536"/>
      <c r="Q71" s="534"/>
      <c r="R71" s="534"/>
      <c r="S71" s="534"/>
      <c r="T71" s="534"/>
      <c r="U71" s="534"/>
      <c r="V71" s="534"/>
      <c r="W71" s="534"/>
      <c r="X71" s="896"/>
    </row>
    <row r="72" spans="1:24" ht="15.75">
      <c r="A72" s="528"/>
      <c r="B72" s="892"/>
      <c r="C72" s="534"/>
      <c r="D72" s="536"/>
      <c r="E72" s="536"/>
      <c r="F72" s="536"/>
      <c r="L72" s="536"/>
      <c r="M72" s="536"/>
      <c r="N72" s="536"/>
      <c r="O72" s="536"/>
      <c r="P72" s="536"/>
      <c r="Q72" s="534"/>
      <c r="R72" s="534"/>
      <c r="S72" s="534"/>
      <c r="T72" s="534"/>
      <c r="U72" s="534"/>
      <c r="V72" s="534"/>
      <c r="W72" s="534"/>
      <c r="X72" s="896"/>
    </row>
    <row r="73" spans="1:24" ht="15.75">
      <c r="A73" s="528"/>
      <c r="B73" s="892"/>
      <c r="C73" s="534"/>
      <c r="D73" s="536"/>
      <c r="E73" s="536"/>
      <c r="F73" s="536"/>
      <c r="L73" s="536"/>
      <c r="M73" s="536"/>
      <c r="N73" s="536"/>
      <c r="O73" s="536"/>
      <c r="P73" s="536"/>
      <c r="Q73" s="534"/>
      <c r="R73" s="534"/>
      <c r="S73" s="534"/>
      <c r="T73" s="534"/>
      <c r="U73" s="534"/>
      <c r="V73" s="534"/>
      <c r="W73" s="534"/>
      <c r="X73" s="896"/>
    </row>
    <row r="74" spans="1:24" ht="15.75">
      <c r="A74" s="528"/>
      <c r="B74" s="892"/>
      <c r="C74" s="534"/>
      <c r="D74" s="536"/>
      <c r="E74" s="536"/>
      <c r="F74" s="536"/>
      <c r="G74" s="536" t="s">
        <v>840</v>
      </c>
      <c r="H74" s="536"/>
      <c r="K74" s="536"/>
      <c r="L74" s="536"/>
      <c r="M74" s="536"/>
      <c r="N74" s="536"/>
      <c r="O74" s="536"/>
      <c r="P74" s="536"/>
      <c r="Q74" s="534"/>
      <c r="R74" s="534"/>
      <c r="S74" s="534"/>
      <c r="T74" s="534"/>
      <c r="U74" s="534"/>
      <c r="V74" s="534"/>
      <c r="W74" s="534"/>
      <c r="X74" s="896"/>
    </row>
    <row r="75" spans="1:24" ht="15.75">
      <c r="A75" s="528"/>
      <c r="B75" s="892"/>
      <c r="C75" s="534"/>
      <c r="D75" s="536"/>
      <c r="E75" s="536"/>
      <c r="F75" s="536"/>
      <c r="G75" s="536"/>
      <c r="H75" s="536"/>
      <c r="K75" s="955">
        <f>L42-K70</f>
        <v>218.62719401517879</v>
      </c>
      <c r="L75" s="536"/>
      <c r="M75" s="536"/>
      <c r="N75" s="536"/>
      <c r="O75" s="536"/>
      <c r="P75" s="536"/>
      <c r="Q75" s="534"/>
      <c r="R75" s="534"/>
      <c r="S75" s="534"/>
      <c r="T75" s="534"/>
      <c r="U75" s="534"/>
      <c r="V75" s="534"/>
      <c r="W75" s="534"/>
      <c r="X75" s="896"/>
    </row>
    <row r="76" spans="1:24" ht="15.75">
      <c r="A76" s="528"/>
      <c r="B76" s="892"/>
      <c r="C76" s="534"/>
      <c r="D76" s="536"/>
      <c r="E76" s="536"/>
      <c r="F76" s="536"/>
      <c r="G76" s="536"/>
      <c r="H76" s="536"/>
      <c r="I76" s="536"/>
      <c r="K76" s="536"/>
      <c r="L76" s="536"/>
      <c r="M76" s="536"/>
      <c r="N76" s="536"/>
      <c r="O76" s="536"/>
      <c r="P76" s="536"/>
      <c r="Q76" s="534"/>
      <c r="R76" s="534"/>
      <c r="S76" s="534"/>
      <c r="T76" s="534"/>
      <c r="U76" s="534"/>
      <c r="V76" s="534"/>
      <c r="W76" s="534"/>
      <c r="X76" s="896"/>
    </row>
    <row r="77" spans="1:24" ht="15.75">
      <c r="A77" s="528"/>
      <c r="B77" s="892"/>
      <c r="C77" s="534"/>
      <c r="D77" s="536"/>
      <c r="E77" s="536"/>
      <c r="F77" s="536"/>
      <c r="G77" s="536"/>
      <c r="H77" s="536"/>
      <c r="I77" s="536"/>
      <c r="K77" s="536"/>
      <c r="L77" s="536"/>
      <c r="M77" s="536"/>
      <c r="N77" s="536"/>
      <c r="O77" s="536"/>
      <c r="P77" s="536"/>
      <c r="Q77" s="534"/>
      <c r="R77" s="534"/>
      <c r="S77" s="534"/>
      <c r="T77" s="534"/>
      <c r="U77" s="534"/>
      <c r="V77" s="534"/>
      <c r="W77" s="534"/>
      <c r="X77" s="896"/>
    </row>
    <row r="78" spans="1:24" ht="15.75">
      <c r="A78" s="528"/>
      <c r="B78" s="892"/>
      <c r="C78" s="534"/>
      <c r="D78" s="536"/>
      <c r="E78" s="536"/>
      <c r="F78" s="536"/>
      <c r="G78" s="536" t="s">
        <v>841</v>
      </c>
      <c r="H78" s="536"/>
      <c r="I78" s="536"/>
      <c r="K78" s="956">
        <v>35</v>
      </c>
      <c r="L78" s="536"/>
      <c r="M78" s="536"/>
      <c r="N78" s="536"/>
      <c r="O78" s="536"/>
      <c r="P78" s="536"/>
      <c r="Q78" s="534"/>
      <c r="R78" s="534"/>
      <c r="S78" s="534"/>
      <c r="T78" s="534"/>
      <c r="U78" s="534"/>
      <c r="V78" s="534"/>
      <c r="W78" s="534"/>
      <c r="X78" s="896"/>
    </row>
    <row r="79" spans="1:24" ht="15.75">
      <c r="A79" s="528"/>
      <c r="B79" s="892"/>
      <c r="C79" s="534"/>
      <c r="D79" s="536"/>
      <c r="E79" s="536"/>
      <c r="F79" s="536"/>
      <c r="G79" s="536" t="s">
        <v>842</v>
      </c>
      <c r="H79" s="536"/>
      <c r="I79" s="536"/>
      <c r="K79" s="956">
        <f>K78*2</f>
        <v>70</v>
      </c>
      <c r="L79" s="536"/>
      <c r="M79" s="536"/>
      <c r="N79" s="536"/>
      <c r="O79" s="536"/>
      <c r="P79" s="536"/>
      <c r="Q79" s="534"/>
      <c r="R79" s="534"/>
      <c r="S79" s="534"/>
      <c r="T79" s="534"/>
      <c r="U79" s="534"/>
      <c r="V79" s="534"/>
      <c r="W79" s="534"/>
      <c r="X79" s="896"/>
    </row>
    <row r="80" spans="1:24" ht="15.75">
      <c r="A80" s="528"/>
      <c r="B80" s="892"/>
      <c r="C80" s="534"/>
      <c r="D80" s="536"/>
      <c r="E80" s="536"/>
      <c r="F80" s="536"/>
      <c r="G80" s="536" t="s">
        <v>961</v>
      </c>
      <c r="H80" s="536"/>
      <c r="I80" s="536"/>
      <c r="K80" s="957">
        <f>K75/K79</f>
        <v>3.1232456287882684</v>
      </c>
      <c r="L80" s="536"/>
      <c r="M80" s="536"/>
      <c r="N80" s="536"/>
      <c r="O80" s="536"/>
      <c r="P80" s="536"/>
      <c r="Q80" s="534"/>
      <c r="R80" s="534"/>
      <c r="S80" s="534"/>
      <c r="T80" s="534"/>
      <c r="U80" s="534"/>
      <c r="V80" s="534"/>
      <c r="W80" s="534"/>
      <c r="X80" s="896"/>
    </row>
    <row r="81" spans="1:24" ht="15.75">
      <c r="A81" s="528"/>
      <c r="B81" s="892"/>
      <c r="C81" s="534"/>
      <c r="D81" s="536"/>
      <c r="E81" s="536"/>
      <c r="F81" s="536"/>
      <c r="G81" s="536"/>
      <c r="H81" s="536"/>
      <c r="I81" s="536"/>
      <c r="J81" s="536"/>
      <c r="K81" s="536"/>
      <c r="L81" s="536"/>
      <c r="M81" s="536"/>
      <c r="N81" s="536"/>
      <c r="O81" s="536"/>
      <c r="P81" s="536"/>
      <c r="Q81" s="534"/>
      <c r="R81" s="534"/>
      <c r="S81" s="534"/>
      <c r="T81" s="534"/>
      <c r="U81" s="534"/>
      <c r="V81" s="534"/>
      <c r="W81" s="534"/>
      <c r="X81" s="896"/>
    </row>
    <row r="82" spans="1:24" ht="15.75">
      <c r="A82" s="528"/>
      <c r="B82" s="892"/>
      <c r="C82" s="534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536"/>
      <c r="Q82" s="534"/>
      <c r="R82" s="534"/>
      <c r="S82" s="534"/>
      <c r="T82" s="534"/>
      <c r="U82" s="534"/>
      <c r="V82" s="534"/>
      <c r="W82" s="534"/>
      <c r="X82" s="896"/>
    </row>
    <row r="83" spans="1:24" ht="15.75">
      <c r="A83" s="528"/>
      <c r="B83" s="892"/>
      <c r="C83" s="534"/>
      <c r="D83" s="536"/>
      <c r="E83" s="536"/>
      <c r="F83" s="536"/>
      <c r="G83" s="536"/>
      <c r="H83" s="536"/>
      <c r="I83" s="536"/>
      <c r="J83" s="536"/>
      <c r="K83" s="536"/>
      <c r="L83" s="536"/>
      <c r="M83" s="536"/>
      <c r="N83" s="536"/>
      <c r="O83" s="536"/>
      <c r="P83" s="536"/>
      <c r="Q83" s="534"/>
      <c r="R83" s="534"/>
      <c r="S83" s="534"/>
      <c r="T83" s="534"/>
      <c r="U83" s="534"/>
      <c r="V83" s="534"/>
      <c r="W83" s="534"/>
      <c r="X83" s="896"/>
    </row>
    <row r="84" spans="1:24" ht="15.75">
      <c r="A84" s="528"/>
      <c r="B84" s="892"/>
      <c r="C84" s="534"/>
      <c r="D84" s="528"/>
      <c r="E84" s="528"/>
      <c r="F84" s="528"/>
      <c r="G84" s="528"/>
      <c r="H84" s="528"/>
      <c r="I84" s="528"/>
      <c r="J84" s="528"/>
      <c r="K84" s="528"/>
      <c r="L84" s="528"/>
      <c r="M84" s="528"/>
      <c r="N84" s="528"/>
      <c r="O84" s="528"/>
      <c r="P84" s="534"/>
      <c r="Q84" s="536"/>
      <c r="R84" s="536"/>
      <c r="S84" s="534"/>
      <c r="T84" s="534"/>
      <c r="U84" s="534"/>
      <c r="V84" s="534"/>
      <c r="W84" s="534"/>
      <c r="X84" s="896"/>
    </row>
    <row r="85" spans="1:24" ht="15.75" thickBot="1">
      <c r="A85" s="528"/>
      <c r="B85" s="918"/>
      <c r="C85" s="919"/>
      <c r="D85" s="919"/>
      <c r="E85" s="919"/>
      <c r="F85" s="919"/>
      <c r="G85" s="919"/>
      <c r="H85" s="919"/>
      <c r="I85" s="919"/>
      <c r="J85" s="919"/>
      <c r="K85" s="919"/>
      <c r="L85" s="919"/>
      <c r="M85" s="919"/>
      <c r="N85" s="919"/>
      <c r="O85" s="919"/>
      <c r="P85" s="919"/>
      <c r="Q85" s="919"/>
      <c r="R85" s="919"/>
      <c r="S85" s="919"/>
      <c r="T85" s="919"/>
      <c r="U85" s="919"/>
      <c r="V85" s="919"/>
      <c r="W85" s="919"/>
      <c r="X85" s="920"/>
    </row>
    <row r="86" spans="1:24" ht="15" customHeight="1">
      <c r="A86" s="921"/>
      <c r="B86" s="922"/>
      <c r="C86" s="923"/>
      <c r="D86" s="924" t="s">
        <v>663</v>
      </c>
      <c r="E86" s="923"/>
      <c r="F86" s="925"/>
      <c r="G86" s="926"/>
      <c r="H86" s="927" t="s">
        <v>664</v>
      </c>
      <c r="I86" s="928"/>
      <c r="J86" s="927"/>
      <c r="K86" s="927"/>
      <c r="L86" s="927" t="s">
        <v>756</v>
      </c>
      <c r="M86" s="926"/>
      <c r="N86" s="925"/>
      <c r="O86" s="926"/>
      <c r="P86" s="926" t="s">
        <v>665</v>
      </c>
      <c r="Q86" s="929"/>
      <c r="R86" s="927"/>
      <c r="S86" s="927" t="s">
        <v>756</v>
      </c>
      <c r="T86" s="927"/>
      <c r="U86" s="928"/>
      <c r="V86" s="927"/>
      <c r="W86" s="927" t="s">
        <v>667</v>
      </c>
      <c r="X86" s="930"/>
    </row>
    <row r="87" spans="1:24" ht="15" customHeight="1">
      <c r="A87" s="528"/>
      <c r="B87" s="931"/>
      <c r="C87" s="932"/>
      <c r="D87" s="933" t="s">
        <v>757</v>
      </c>
      <c r="E87" s="932"/>
      <c r="F87" s="934"/>
      <c r="G87" s="935"/>
      <c r="H87" s="936" t="s">
        <v>758</v>
      </c>
      <c r="I87" s="937"/>
      <c r="J87" s="936"/>
      <c r="K87" s="936"/>
      <c r="L87" s="936"/>
      <c r="M87" s="935"/>
      <c r="N87" s="938"/>
      <c r="O87" s="935"/>
      <c r="P87" s="935"/>
      <c r="Q87" s="938"/>
      <c r="R87" s="936"/>
      <c r="S87" s="936"/>
      <c r="T87" s="936"/>
      <c r="U87" s="937"/>
      <c r="V87" s="936"/>
      <c r="W87" s="939" t="s">
        <v>669</v>
      </c>
      <c r="X87" s="940"/>
    </row>
    <row r="88" spans="1:24" ht="15" customHeight="1" thickBot="1">
      <c r="A88" s="528"/>
      <c r="B88" s="918"/>
      <c r="C88" s="919"/>
      <c r="D88" s="919"/>
      <c r="E88" s="919"/>
      <c r="F88" s="941"/>
      <c r="G88" s="942"/>
      <c r="H88" s="919"/>
      <c r="I88" s="941"/>
      <c r="J88" s="919"/>
      <c r="K88" s="919"/>
      <c r="L88" s="919"/>
      <c r="M88" s="919"/>
      <c r="N88" s="941"/>
      <c r="O88" s="919"/>
      <c r="P88" s="919"/>
      <c r="Q88" s="941"/>
      <c r="R88" s="919"/>
      <c r="S88" s="919"/>
      <c r="T88" s="919"/>
      <c r="U88" s="941"/>
      <c r="V88" s="919"/>
      <c r="W88" s="919"/>
      <c r="X88" s="920"/>
    </row>
  </sheetData>
  <protectedRanges>
    <protectedRange sqref="L2:L3 R7:U7 Q8:W8 K6 T3 U3:U5" name="Titre_1"/>
  </protectedRanges>
  <phoneticPr fontId="12" type="noConversion"/>
  <pageMargins left="0.75" right="0.75" top="0.54" bottom="0.5" header="0.4921259845" footer="0.4921259845"/>
  <pageSetup paperSize="9" scale="57" orientation="portrait" r:id="rId1"/>
  <headerFooter alignWithMargins="0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23</vt:i4>
      </vt:variant>
    </vt:vector>
  </HeadingPairs>
  <TitlesOfParts>
    <vt:vector size="65" baseType="lpstr">
      <vt:lpstr>Sheet7</vt:lpstr>
      <vt:lpstr>Sheet5</vt:lpstr>
      <vt:lpstr>Sheet5 (2)</vt:lpstr>
      <vt:lpstr>Sheet4</vt:lpstr>
      <vt:lpstr>Sheet3</vt:lpstr>
      <vt:lpstr>Sheet3 (2)</vt:lpstr>
      <vt:lpstr>Sheet2</vt:lpstr>
      <vt:lpstr>Turbines</vt:lpstr>
      <vt:lpstr>Heat Loads</vt:lpstr>
      <vt:lpstr>Sheet1</vt:lpstr>
      <vt:lpstr>RHEA</vt:lpstr>
      <vt:lpstr>calcul</vt:lpstr>
      <vt:lpstr>calcul (2)</vt:lpstr>
      <vt:lpstr>DRYER</vt:lpstr>
      <vt:lpstr>model</vt:lpstr>
      <vt:lpstr>Heat Losses</vt:lpstr>
      <vt:lpstr>CRYO_AB_PSV</vt:lpstr>
      <vt:lpstr>model (2)</vt:lpstr>
      <vt:lpstr>HX_eau</vt:lpstr>
      <vt:lpstr>Property GasPak</vt:lpstr>
      <vt:lpstr>HX</vt:lpstr>
      <vt:lpstr>Matériaux</vt:lpstr>
      <vt:lpstr>Table</vt:lpstr>
      <vt:lpstr>Vanne_Charge&amp;Décharge</vt:lpstr>
      <vt:lpstr>After_Cooler</vt:lpstr>
      <vt:lpstr>Warm Lines</vt:lpstr>
      <vt:lpstr>DP_line</vt:lpstr>
      <vt:lpstr>DP_Lignes</vt:lpstr>
      <vt:lpstr>DP-ORS</vt:lpstr>
      <vt:lpstr>DP-Filtre</vt:lpstr>
      <vt:lpstr>DP-Adsorbers</vt:lpstr>
      <vt:lpstr>DP-HX</vt:lpstr>
      <vt:lpstr>DP-HX (2)</vt:lpstr>
      <vt:lpstr>Compresseur</vt:lpstr>
      <vt:lpstr>Helial</vt:lpstr>
      <vt:lpstr>Teneur H2O</vt:lpstr>
      <vt:lpstr>Exergie</vt:lpstr>
      <vt:lpstr>Turbine Réguléé à 2205 Hz</vt:lpstr>
      <vt:lpstr>Turbine  Libre</vt:lpstr>
      <vt:lpstr>Property HePak</vt:lpstr>
      <vt:lpstr>Fluides</vt:lpstr>
      <vt:lpstr>Pipe diameter</vt:lpstr>
      <vt:lpstr>'Pipe diameter'!coude</vt:lpstr>
      <vt:lpstr>'Pipe diameter'!DN</vt:lpstr>
      <vt:lpstr>DN_table</vt:lpstr>
      <vt:lpstr>GP_fluides</vt:lpstr>
      <vt:lpstr>Input1</vt:lpstr>
      <vt:lpstr>Input2</vt:lpstr>
      <vt:lpstr>CRYO_AB_PSV!Print_Area</vt:lpstr>
      <vt:lpstr>DP_line!Print_Area</vt:lpstr>
      <vt:lpstr>'DP-HX'!Print_Area</vt:lpstr>
      <vt:lpstr>'Heat Loads'!Print_Area</vt:lpstr>
      <vt:lpstr>'Heat Losses'!Print_Area</vt:lpstr>
      <vt:lpstr>model!Print_Area</vt:lpstr>
      <vt:lpstr>'model (2)'!Print_Area</vt:lpstr>
      <vt:lpstr>'Property HePak'!Print_Area</vt:lpstr>
      <vt:lpstr>Sheet1!Print_Area</vt:lpstr>
      <vt:lpstr>Table!Print_Area</vt:lpstr>
      <vt:lpstr>'Warm Lines'!Print_Area</vt:lpstr>
      <vt:lpstr>'Property HePak'!Print_Titles</vt:lpstr>
      <vt:lpstr>Table1</vt:lpstr>
      <vt:lpstr>Table2</vt:lpstr>
      <vt:lpstr>Units</vt:lpstr>
      <vt:lpstr>Value1</vt:lpstr>
      <vt:lpstr>Value2</vt:lpstr>
    </vt:vector>
  </TitlesOfParts>
  <Company>Rimfire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McCarty</dc:creator>
  <cp:lastModifiedBy>Vincent Heloin</cp:lastModifiedBy>
  <cp:lastPrinted>2011-01-05T11:19:46Z</cp:lastPrinted>
  <dcterms:created xsi:type="dcterms:W3CDTF">1998-04-07T19:25:40Z</dcterms:created>
  <dcterms:modified xsi:type="dcterms:W3CDTF">2013-06-18T09:12:49Z</dcterms:modified>
</cp:coreProperties>
</file>