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7005" firstSheet="7" activeTab="7"/>
  </bookViews>
  <sheets>
    <sheet name="Summary" sheetId="5" r:id="rId1"/>
    <sheet name="Howden" sheetId="2" r:id="rId2"/>
    <sheet name="MYCOM" sheetId="4" r:id="rId3"/>
    <sheet name="GEA" sheetId="6" r:id="rId4"/>
    <sheet name="Frick" sheetId="7" r:id="rId5"/>
    <sheet name="Aerzen" sheetId="8" r:id="rId6"/>
    <sheet name="Sheet1" sheetId="9" r:id="rId7"/>
    <sheet name="Sheet2" sheetId="10" r:id="rId8"/>
  </sheets>
  <calcPr calcId="125725"/>
</workbook>
</file>

<file path=xl/calcChain.xml><?xml version="1.0" encoding="utf-8"?>
<calcChain xmlns="http://schemas.openxmlformats.org/spreadsheetml/2006/main">
  <c r="Q18" i="10"/>
  <c r="Q12"/>
  <c r="Q13"/>
  <c r="Q14"/>
  <c r="Q15"/>
  <c r="Q11"/>
  <c r="AI11" l="1"/>
  <c r="J11" l="1"/>
  <c r="I11"/>
  <c r="S18"/>
  <c r="Z18" s="1"/>
  <c r="R18"/>
  <c r="Y18" s="1"/>
  <c r="S17"/>
  <c r="Z17" s="1"/>
  <c r="R17"/>
  <c r="Y17" s="1"/>
  <c r="S13"/>
  <c r="Z13" s="1"/>
  <c r="R13"/>
  <c r="Y13" s="1"/>
  <c r="S14"/>
  <c r="Z14" s="1"/>
  <c r="R14"/>
  <c r="Y14" s="1"/>
  <c r="S15"/>
  <c r="Z15" s="1"/>
  <c r="R15"/>
  <c r="Y15" s="1"/>
  <c r="S11"/>
  <c r="Z11" s="1"/>
  <c r="R11"/>
  <c r="Y11" s="1"/>
  <c r="S12"/>
  <c r="Z12" s="1"/>
  <c r="Y12"/>
  <c r="R12"/>
  <c r="AD5" i="5"/>
  <c r="AD6" s="1"/>
  <c r="AD9"/>
  <c r="AE9" s="1"/>
  <c r="AB14"/>
  <c r="AC11"/>
  <c r="AD11" s="1"/>
  <c r="Z9"/>
  <c r="AA9" s="1"/>
  <c r="Z5"/>
  <c r="Z6" s="1"/>
  <c r="R7"/>
  <c r="Q7"/>
  <c r="P7"/>
  <c r="P8" s="1"/>
  <c r="K10"/>
  <c r="Q10"/>
  <c r="R10" s="1"/>
  <c r="Q11"/>
  <c r="R11" s="1"/>
  <c r="K11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29"/>
  <c r="C22" i="2"/>
  <c r="C21"/>
  <c r="C20"/>
  <c r="C19"/>
  <c r="C18"/>
  <c r="C17"/>
  <c r="C16"/>
  <c r="C15"/>
  <c r="C14"/>
  <c r="C13"/>
  <c r="C12"/>
  <c r="C11"/>
  <c r="C10"/>
  <c r="C9"/>
  <c r="C8"/>
  <c r="C7"/>
  <c r="C3"/>
  <c r="C23"/>
  <c r="M2"/>
  <c r="AA4" i="5" l="1"/>
  <c r="AE4"/>
  <c r="E98"/>
  <c r="E97"/>
  <c r="E96"/>
  <c r="E95"/>
  <c r="E94"/>
  <c r="E93"/>
  <c r="E92"/>
  <c r="E91"/>
  <c r="E90"/>
  <c r="E89"/>
  <c r="E88"/>
  <c r="E87"/>
  <c r="G98"/>
  <c r="G97"/>
  <c r="G96"/>
  <c r="G95"/>
  <c r="G94"/>
  <c r="G93"/>
  <c r="G92"/>
  <c r="G91"/>
  <c r="G90"/>
  <c r="G89"/>
  <c r="G88"/>
  <c r="G87"/>
  <c r="R8" i="8"/>
  <c r="G75" i="5"/>
  <c r="G76"/>
  <c r="G77"/>
  <c r="G78"/>
  <c r="G79"/>
  <c r="G80"/>
  <c r="G81"/>
  <c r="G82"/>
  <c r="G83"/>
  <c r="G84"/>
  <c r="G85"/>
  <c r="G86"/>
  <c r="G74"/>
  <c r="E75"/>
  <c r="E76"/>
  <c r="E77"/>
  <c r="E78"/>
  <c r="E79"/>
  <c r="E80"/>
  <c r="E81"/>
  <c r="E82"/>
  <c r="E83"/>
  <c r="E84"/>
  <c r="E85"/>
  <c r="E86"/>
  <c r="E74"/>
  <c r="AC46" i="7"/>
  <c r="AC47"/>
  <c r="AC48"/>
  <c r="AC49"/>
  <c r="AC50"/>
  <c r="AC51"/>
  <c r="AC52"/>
  <c r="AC53"/>
  <c r="AC54"/>
  <c r="AC55"/>
  <c r="AC56"/>
  <c r="AC57"/>
  <c r="AC45"/>
  <c r="F28" i="5"/>
  <c r="F15"/>
  <c r="F16"/>
  <c r="F17"/>
  <c r="F18"/>
  <c r="F19"/>
  <c r="F20"/>
  <c r="F21"/>
  <c r="F22"/>
  <c r="F23"/>
  <c r="F24"/>
  <c r="F25"/>
  <c r="F26"/>
  <c r="F27"/>
  <c r="F14"/>
  <c r="K6"/>
  <c r="K7" s="1"/>
  <c r="G61"/>
  <c r="G62"/>
  <c r="G63"/>
  <c r="G64"/>
  <c r="G65"/>
  <c r="G66"/>
  <c r="G67"/>
  <c r="G68"/>
  <c r="G69"/>
  <c r="G70"/>
  <c r="G71"/>
  <c r="G72"/>
  <c r="G73"/>
  <c r="G60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29"/>
  <c r="N5"/>
  <c r="F12"/>
  <c r="J13" s="1"/>
  <c r="J95" s="1"/>
  <c r="E12"/>
  <c r="AE5" l="1"/>
  <c r="AE6" s="1"/>
  <c r="AA5"/>
  <c r="AA6" s="1"/>
  <c r="N11"/>
  <c r="U7"/>
  <c r="S7"/>
  <c r="T7"/>
  <c r="J72"/>
  <c r="J68"/>
  <c r="J64"/>
  <c r="K64" s="1"/>
  <c r="L64" s="1"/>
  <c r="J75"/>
  <c r="K75" s="1"/>
  <c r="L75" s="1"/>
  <c r="J79"/>
  <c r="J83"/>
  <c r="J90"/>
  <c r="K90" s="1"/>
  <c r="L90" s="1"/>
  <c r="J94"/>
  <c r="K94" s="1"/>
  <c r="L94" s="1"/>
  <c r="J98"/>
  <c r="J73"/>
  <c r="J69"/>
  <c r="K69" s="1"/>
  <c r="L69" s="1"/>
  <c r="J65"/>
  <c r="K65" s="1"/>
  <c r="L65" s="1"/>
  <c r="J61"/>
  <c r="J26"/>
  <c r="A26" s="1"/>
  <c r="J22"/>
  <c r="A22" s="1"/>
  <c r="J18"/>
  <c r="A18" s="1"/>
  <c r="J28"/>
  <c r="A28" s="1"/>
  <c r="J74"/>
  <c r="J78"/>
  <c r="K78" s="1"/>
  <c r="L78" s="1"/>
  <c r="J82"/>
  <c r="J86"/>
  <c r="J89"/>
  <c r="J93"/>
  <c r="K93" s="1"/>
  <c r="L93" s="1"/>
  <c r="J97"/>
  <c r="K97" s="1"/>
  <c r="L97" s="1"/>
  <c r="J60"/>
  <c r="J70"/>
  <c r="J66"/>
  <c r="K66" s="1"/>
  <c r="L66" s="1"/>
  <c r="J62"/>
  <c r="K62" s="1"/>
  <c r="L62" s="1"/>
  <c r="J27"/>
  <c r="A27" s="1"/>
  <c r="J77"/>
  <c r="J81"/>
  <c r="K81" s="1"/>
  <c r="L81" s="1"/>
  <c r="J85"/>
  <c r="K85" s="1"/>
  <c r="L85" s="1"/>
  <c r="J88"/>
  <c r="K88" s="1"/>
  <c r="L88" s="1"/>
  <c r="J92"/>
  <c r="J96"/>
  <c r="K96" s="1"/>
  <c r="L96" s="1"/>
  <c r="J55"/>
  <c r="A55" s="1"/>
  <c r="J71"/>
  <c r="J67"/>
  <c r="J63"/>
  <c r="K63" s="1"/>
  <c r="L63" s="1"/>
  <c r="J76"/>
  <c r="K76" s="1"/>
  <c r="L76" s="1"/>
  <c r="J80"/>
  <c r="J84"/>
  <c r="K84" s="1"/>
  <c r="L84" s="1"/>
  <c r="J87"/>
  <c r="K87" s="1"/>
  <c r="L87" s="1"/>
  <c r="J91"/>
  <c r="K91" s="1"/>
  <c r="L91" s="1"/>
  <c r="N10"/>
  <c r="K72"/>
  <c r="L72" s="1"/>
  <c r="K83"/>
  <c r="L83" s="1"/>
  <c r="K86"/>
  <c r="L86" s="1"/>
  <c r="K89"/>
  <c r="L89" s="1"/>
  <c r="K79"/>
  <c r="L79" s="1"/>
  <c r="K82"/>
  <c r="L82" s="1"/>
  <c r="K98"/>
  <c r="L98" s="1"/>
  <c r="K80"/>
  <c r="L80" s="1"/>
  <c r="K92"/>
  <c r="L92" s="1"/>
  <c r="K95"/>
  <c r="L95" s="1"/>
  <c r="K74"/>
  <c r="L74" s="1"/>
  <c r="K77"/>
  <c r="L77" s="1"/>
  <c r="K28"/>
  <c r="L28" s="1"/>
  <c r="K67"/>
  <c r="L67" s="1"/>
  <c r="K68"/>
  <c r="L68" s="1"/>
  <c r="K71"/>
  <c r="L71" s="1"/>
  <c r="K60"/>
  <c r="L60" s="1"/>
  <c r="K70"/>
  <c r="L70" s="1"/>
  <c r="K73"/>
  <c r="L73" s="1"/>
  <c r="K61"/>
  <c r="L61" s="1"/>
  <c r="J23"/>
  <c r="A23" s="1"/>
  <c r="J15"/>
  <c r="J29"/>
  <c r="J43"/>
  <c r="J35"/>
  <c r="A35" s="1"/>
  <c r="J58"/>
  <c r="J45"/>
  <c r="A45" s="1"/>
  <c r="J37"/>
  <c r="A37" s="1"/>
  <c r="J57"/>
  <c r="J24"/>
  <c r="J20"/>
  <c r="J16"/>
  <c r="N7"/>
  <c r="N89" s="1"/>
  <c r="O89" s="1"/>
  <c r="J47"/>
  <c r="J39"/>
  <c r="A39" s="1"/>
  <c r="J31"/>
  <c r="A31" s="1"/>
  <c r="J25"/>
  <c r="J21"/>
  <c r="J17"/>
  <c r="J14"/>
  <c r="J19"/>
  <c r="J49"/>
  <c r="J41"/>
  <c r="A41" s="1"/>
  <c r="J33"/>
  <c r="J51"/>
  <c r="A51" s="1"/>
  <c r="J52"/>
  <c r="A52" s="1"/>
  <c r="J56"/>
  <c r="J59"/>
  <c r="A59" s="1"/>
  <c r="J48"/>
  <c r="A48" s="1"/>
  <c r="J44"/>
  <c r="A44" s="1"/>
  <c r="J40"/>
  <c r="A40" s="1"/>
  <c r="J36"/>
  <c r="A36" s="1"/>
  <c r="J32"/>
  <c r="A32" s="1"/>
  <c r="J50"/>
  <c r="J54"/>
  <c r="A54" s="1"/>
  <c r="K26"/>
  <c r="L26" s="1"/>
  <c r="J46"/>
  <c r="J42"/>
  <c r="A42" s="1"/>
  <c r="J38"/>
  <c r="A38" s="1"/>
  <c r="J34"/>
  <c r="A34" s="1"/>
  <c r="J30"/>
  <c r="J53"/>
  <c r="K55" l="1"/>
  <c r="L55" s="1"/>
  <c r="K39"/>
  <c r="L39" s="1"/>
  <c r="K22"/>
  <c r="L22" s="1"/>
  <c r="K18"/>
  <c r="L18" s="1"/>
  <c r="K27"/>
  <c r="L27" s="1"/>
  <c r="N55"/>
  <c r="O55" s="1"/>
  <c r="K35"/>
  <c r="L35" s="1"/>
  <c r="K41"/>
  <c r="L41" s="1"/>
  <c r="K33"/>
  <c r="L33" s="1"/>
  <c r="A33"/>
  <c r="K14"/>
  <c r="L14" s="1"/>
  <c r="A14"/>
  <c r="K16"/>
  <c r="L16" s="1"/>
  <c r="A16"/>
  <c r="K43"/>
  <c r="L43" s="1"/>
  <c r="A43"/>
  <c r="N30"/>
  <c r="O30" s="1"/>
  <c r="A30"/>
  <c r="N46"/>
  <c r="O46" s="1"/>
  <c r="A46"/>
  <c r="N19"/>
  <c r="O19" s="1"/>
  <c r="A19"/>
  <c r="K25"/>
  <c r="L25" s="1"/>
  <c r="A25"/>
  <c r="K57"/>
  <c r="L57" s="1"/>
  <c r="A57"/>
  <c r="K53"/>
  <c r="L53" s="1"/>
  <c r="A53"/>
  <c r="K50"/>
  <c r="L50" s="1"/>
  <c r="A50"/>
  <c r="K56"/>
  <c r="L56" s="1"/>
  <c r="A56"/>
  <c r="K49"/>
  <c r="L49" s="1"/>
  <c r="A49"/>
  <c r="K21"/>
  <c r="L21" s="1"/>
  <c r="A21"/>
  <c r="K47"/>
  <c r="L47" s="1"/>
  <c r="A47"/>
  <c r="K24"/>
  <c r="L24" s="1"/>
  <c r="A24"/>
  <c r="K58"/>
  <c r="L58" s="1"/>
  <c r="A58"/>
  <c r="K15"/>
  <c r="L15" s="1"/>
  <c r="A15"/>
  <c r="K17"/>
  <c r="L17" s="1"/>
  <c r="A17"/>
  <c r="K20"/>
  <c r="L20" s="1"/>
  <c r="A20"/>
  <c r="K29"/>
  <c r="L29" s="1"/>
  <c r="A29"/>
  <c r="K37"/>
  <c r="L37" s="1"/>
  <c r="N94"/>
  <c r="O94" s="1"/>
  <c r="N87"/>
  <c r="O87" s="1"/>
  <c r="N31"/>
  <c r="O31" s="1"/>
  <c r="N60"/>
  <c r="O60" s="1"/>
  <c r="N78"/>
  <c r="O78" s="1"/>
  <c r="N86"/>
  <c r="O86" s="1"/>
  <c r="N95"/>
  <c r="O95" s="1"/>
  <c r="N93"/>
  <c r="O93" s="1"/>
  <c r="N77"/>
  <c r="O77" s="1"/>
  <c r="N28"/>
  <c r="O28" s="1"/>
  <c r="N74"/>
  <c r="O74" s="1"/>
  <c r="N85"/>
  <c r="O85" s="1"/>
  <c r="N69"/>
  <c r="O69" s="1"/>
  <c r="N84"/>
  <c r="O84" s="1"/>
  <c r="N83"/>
  <c r="O83" s="1"/>
  <c r="N96"/>
  <c r="O96" s="1"/>
  <c r="N88"/>
  <c r="O88" s="1"/>
  <c r="N76"/>
  <c r="O76" s="1"/>
  <c r="N75"/>
  <c r="O75" s="1"/>
  <c r="N92"/>
  <c r="O92" s="1"/>
  <c r="N80"/>
  <c r="O80" s="1"/>
  <c r="N79"/>
  <c r="O79" s="1"/>
  <c r="N27"/>
  <c r="O27" s="1"/>
  <c r="N82"/>
  <c r="O82" s="1"/>
  <c r="N91"/>
  <c r="O91" s="1"/>
  <c r="N81"/>
  <c r="O81" s="1"/>
  <c r="N98"/>
  <c r="O98" s="1"/>
  <c r="N90"/>
  <c r="O90" s="1"/>
  <c r="N97"/>
  <c r="O97" s="1"/>
  <c r="N16"/>
  <c r="O16" s="1"/>
  <c r="N35"/>
  <c r="O35" s="1"/>
  <c r="N64"/>
  <c r="O64" s="1"/>
  <c r="N68"/>
  <c r="O68" s="1"/>
  <c r="N72"/>
  <c r="O72" s="1"/>
  <c r="N63"/>
  <c r="O63" s="1"/>
  <c r="N62"/>
  <c r="O62" s="1"/>
  <c r="N66"/>
  <c r="O66" s="1"/>
  <c r="N70"/>
  <c r="O70" s="1"/>
  <c r="K31"/>
  <c r="L31" s="1"/>
  <c r="N67"/>
  <c r="O67" s="1"/>
  <c r="N57"/>
  <c r="O57" s="1"/>
  <c r="N65"/>
  <c r="O65" s="1"/>
  <c r="N73"/>
  <c r="O73" s="1"/>
  <c r="N61"/>
  <c r="O61" s="1"/>
  <c r="N71"/>
  <c r="O71" s="1"/>
  <c r="N17"/>
  <c r="O17" s="1"/>
  <c r="N18"/>
  <c r="O18" s="1"/>
  <c r="N29"/>
  <c r="O29" s="1"/>
  <c r="N26"/>
  <c r="O26" s="1"/>
  <c r="N56"/>
  <c r="O56" s="1"/>
  <c r="K30"/>
  <c r="L30" s="1"/>
  <c r="N15"/>
  <c r="O15" s="1"/>
  <c r="N39"/>
  <c r="O39" s="1"/>
  <c r="N49"/>
  <c r="O49" s="1"/>
  <c r="N14"/>
  <c r="O14" s="1"/>
  <c r="N53"/>
  <c r="O53" s="1"/>
  <c r="N34"/>
  <c r="O34" s="1"/>
  <c r="N47"/>
  <c r="O47" s="1"/>
  <c r="N45"/>
  <c r="O45" s="1"/>
  <c r="N22"/>
  <c r="O22" s="1"/>
  <c r="N25"/>
  <c r="O25" s="1"/>
  <c r="N23"/>
  <c r="O23" s="1"/>
  <c r="K46"/>
  <c r="L46" s="1"/>
  <c r="N42"/>
  <c r="R42" s="1"/>
  <c r="K45"/>
  <c r="L45" s="1"/>
  <c r="N41"/>
  <c r="O41" s="1"/>
  <c r="N37"/>
  <c r="O37" s="1"/>
  <c r="N21"/>
  <c r="O21" s="1"/>
  <c r="K42"/>
  <c r="Q42" s="1"/>
  <c r="N38"/>
  <c r="O38" s="1"/>
  <c r="N43"/>
  <c r="O43" s="1"/>
  <c r="N33"/>
  <c r="O33" s="1"/>
  <c r="N58"/>
  <c r="O58" s="1"/>
  <c r="K36"/>
  <c r="L36" s="1"/>
  <c r="N36"/>
  <c r="O36" s="1"/>
  <c r="N52"/>
  <c r="O52" s="1"/>
  <c r="K52"/>
  <c r="L52" s="1"/>
  <c r="K32"/>
  <c r="L32" s="1"/>
  <c r="N32"/>
  <c r="O32" s="1"/>
  <c r="K48"/>
  <c r="L48" s="1"/>
  <c r="N48"/>
  <c r="O48" s="1"/>
  <c r="K44"/>
  <c r="L44" s="1"/>
  <c r="N44"/>
  <c r="O44" s="1"/>
  <c r="N54"/>
  <c r="O54" s="1"/>
  <c r="K54"/>
  <c r="L54" s="1"/>
  <c r="K40"/>
  <c r="L40" s="1"/>
  <c r="N40"/>
  <c r="O40" s="1"/>
  <c r="N59"/>
  <c r="O59" s="1"/>
  <c r="K59"/>
  <c r="L59" s="1"/>
  <c r="N51"/>
  <c r="O51" s="1"/>
  <c r="K51"/>
  <c r="L51" s="1"/>
  <c r="K38"/>
  <c r="L38" s="1"/>
  <c r="K34"/>
  <c r="L34" s="1"/>
  <c r="N50"/>
  <c r="O50" s="1"/>
  <c r="K19"/>
  <c r="L19" s="1"/>
  <c r="K23"/>
  <c r="L23" s="1"/>
  <c r="N20"/>
  <c r="O20" s="1"/>
  <c r="N24"/>
  <c r="O24" s="1"/>
  <c r="L42" l="1"/>
  <c r="Q41" s="1"/>
  <c r="S41" s="1"/>
  <c r="O42"/>
  <c r="R41" s="1"/>
</calcChain>
</file>

<file path=xl/sharedStrings.xml><?xml version="1.0" encoding="utf-8"?>
<sst xmlns="http://schemas.openxmlformats.org/spreadsheetml/2006/main" count="416" uniqueCount="207">
  <si>
    <t>HOWDEN COMPRESSOR SPECIFICATION</t>
  </si>
  <si>
    <t>WEIGHT APPROX.</t>
  </si>
  <si>
    <t>WRV 163/1.45</t>
  </si>
  <si>
    <t>WRV 163/1.80</t>
  </si>
  <si>
    <t>WRV 204/1.10</t>
  </si>
  <si>
    <t>WRV 204/1.45</t>
  </si>
  <si>
    <t>WRV 204/1.65</t>
  </si>
  <si>
    <t>WRV 204/1.93</t>
  </si>
  <si>
    <t>WRVi 255/1.10</t>
  </si>
  <si>
    <t>WRVi 255/1.30</t>
  </si>
  <si>
    <t>WRVi 255/1.45</t>
  </si>
  <si>
    <t>WRVi 255/1.65</t>
  </si>
  <si>
    <t>WRVi 255/1.93</t>
  </si>
  <si>
    <t>WRV 255/2.20</t>
  </si>
  <si>
    <t>WRVi 321/1.32</t>
  </si>
  <si>
    <t>WRVi 321/1.65</t>
  </si>
  <si>
    <t>WRVi 321/1.93</t>
  </si>
  <si>
    <t>WRV 321/2.20</t>
  </si>
  <si>
    <t>WRVi 365/165</t>
  </si>
  <si>
    <t>WRVi 365/193</t>
  </si>
  <si>
    <t>WRV 510/1.32</t>
  </si>
  <si>
    <t>WRV 510/1.65</t>
  </si>
  <si>
    <t>WRV 510/1.93</t>
  </si>
  <si>
    <t>The company operates a policy of continuous product development and reserves the right to alter the data provided without notice.</t>
  </si>
  <si>
    <t>*Swept volume at 3000 rpm except WRV510 range which is measured at 1500rpm **Swept volume at 3600 rpm except WRV510 which is measured at 1800 rpm.</t>
  </si>
  <si>
    <t>XRV 163 &amp; XRV 204 Compressors</t>
  </si>
  <si>
    <t>XRV 127-R1</t>
  </si>
  <si>
    <t>XRV 127-R3</t>
  </si>
  <si>
    <t>XRV 127-R4</t>
  </si>
  <si>
    <t>XRV 127-R5</t>
  </si>
  <si>
    <t>-</t>
  </si>
  <si>
    <t>XRV 163/1.65</t>
  </si>
  <si>
    <t>XRV 163/1.93</t>
  </si>
  <si>
    <t>XRV 204/1.10</t>
  </si>
  <si>
    <t>XRV 204/1.45</t>
  </si>
  <si>
    <t>XRV 204/1.65</t>
  </si>
  <si>
    <t>XRV 204/1.93</t>
  </si>
  <si>
    <t xml:space="preserve">m3/hr </t>
  </si>
  <si>
    <t>mm</t>
  </si>
  <si>
    <t>kg</t>
  </si>
  <si>
    <t>L/D : Lentgh over diameter is around 1,4 to 2,1</t>
  </si>
  <si>
    <t>XRV 127</t>
  </si>
  <si>
    <r>
      <t>*SWEPT VOLUME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50Hz</t>
    </r>
  </si>
  <si>
    <r>
      <t>*SWEPT VOLUME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60Hz</t>
    </r>
  </si>
  <si>
    <r>
      <t>SUCTION PORT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Ø</t>
    </r>
  </si>
  <si>
    <r>
      <t>DISCHARGE PORT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Ø</t>
    </r>
  </si>
  <si>
    <t>A</t>
  </si>
  <si>
    <t>B</t>
  </si>
  <si>
    <t>C</t>
  </si>
  <si>
    <t>D</t>
  </si>
  <si>
    <t>L</t>
  </si>
  <si>
    <t>M</t>
  </si>
  <si>
    <t>H</t>
  </si>
  <si>
    <t>125SUD</t>
  </si>
  <si>
    <t>400MUD</t>
  </si>
  <si>
    <t>400SUD</t>
  </si>
  <si>
    <t>200 VSD</t>
  </si>
  <si>
    <t>200 VMD</t>
  </si>
  <si>
    <t>200 VLD</t>
  </si>
  <si>
    <t>250 VSD</t>
  </si>
  <si>
    <t>250 VMD</t>
  </si>
  <si>
    <t>250 VLD</t>
  </si>
  <si>
    <t>250 VLLD</t>
  </si>
  <si>
    <t>320 VSD</t>
  </si>
  <si>
    <t>320 VMD</t>
  </si>
  <si>
    <t>320 VLD</t>
  </si>
  <si>
    <t>MYCOM</t>
  </si>
  <si>
    <t>MANUFACTURER</t>
  </si>
  <si>
    <t>Vol %</t>
  </si>
  <si>
    <t>Pin</t>
  </si>
  <si>
    <t>Tin</t>
  </si>
  <si>
    <t>air molar mass</t>
  </si>
  <si>
    <t>air density</t>
  </si>
  <si>
    <t>rho</t>
  </si>
  <si>
    <t>LP</t>
  </si>
  <si>
    <t>HP</t>
  </si>
  <si>
    <t>Pout</t>
  </si>
  <si>
    <t>Isotherm eff.</t>
  </si>
  <si>
    <t>MODEL</t>
  </si>
  <si>
    <t>LP Flow</t>
  </si>
  <si>
    <t>LP Power</t>
  </si>
  <si>
    <t>HP Flow</t>
  </si>
  <si>
    <t>HP Power</t>
  </si>
  <si>
    <t>Vi</t>
  </si>
  <si>
    <t>BEST MP Pressure</t>
  </si>
  <si>
    <t>BEST HP Pressure</t>
  </si>
  <si>
    <t>Howden</t>
  </si>
  <si>
    <t>WRV 510/1.65**</t>
  </si>
  <si>
    <t>WRV 510/1.93**</t>
  </si>
  <si>
    <t>WRV 510/1.32**</t>
  </si>
  <si>
    <t xml:space="preserve">MYCOM internal Volume ratio </t>
  </si>
  <si>
    <t>API 619 standard and ISO 10440, respectively</t>
  </si>
  <si>
    <t>GEA GRASSO</t>
  </si>
  <si>
    <t>LT-P</t>
  </si>
  <si>
    <t>LT-R</t>
  </si>
  <si>
    <t>LT-S</t>
  </si>
  <si>
    <t>LT-T</t>
  </si>
  <si>
    <t>LT-V</t>
  </si>
  <si>
    <t>LT-W</t>
  </si>
  <si>
    <t>LT-Y</t>
  </si>
  <si>
    <t>LT-Z</t>
  </si>
  <si>
    <t>LT-XA</t>
  </si>
  <si>
    <t>LT-XB</t>
  </si>
  <si>
    <t>LT-XC</t>
  </si>
  <si>
    <t>LT-XD</t>
  </si>
  <si>
    <t>LT-XE</t>
  </si>
  <si>
    <t>LT-XF</t>
  </si>
  <si>
    <t>Ideal Vi</t>
  </si>
  <si>
    <t>400LUD</t>
  </si>
  <si>
    <t>400LLUD</t>
  </si>
  <si>
    <t>Frick</t>
  </si>
  <si>
    <t>HOUSING: Cast Iron</t>
  </si>
  <si>
    <t>ROTORS: Asymmetric 4+6</t>
  </si>
  <si>
    <t>BEARINGS: Antifriction</t>
  </si>
  <si>
    <t>SHAFT SEAL: Stationary carbon</t>
  </si>
  <si>
    <t>VOLUME RATIO CONTROL: Variable 2.2 – 5.0</t>
  </si>
  <si>
    <t>CAPACITY CONTROL: Variable 12% - 100%</t>
  </si>
  <si>
    <t>LUBRICATION SYSTEM: No Oil Pump</t>
  </si>
  <si>
    <t>OIL SEPARATOR/RESERVOIR: ASME 300 psi DWP</t>
  </si>
  <si>
    <t>OIL FILTERS: 5 Micron Absolute</t>
  </si>
  <si>
    <t>GEOMETRICAL SWEPT VOLUME</t>
  </si>
  <si>
    <t>Compressor
Model</t>
  </si>
  <si>
    <t>Rotor Diameter mm</t>
  </si>
  <si>
    <t>Rotor
L/D</t>
  </si>
  <si>
    <t>Max Speed RPM</t>
  </si>
  <si>
    <t>Geometrical
Swept Volume
Drive Shaft  End</t>
  </si>
  <si>
    <t>CFM
3550 RPM</t>
  </si>
  <si>
    <t>m³/h
2950 RPM</t>
  </si>
  <si>
    <t>ft³/  Rev</t>
  </si>
  <si>
    <t>m³/Rev</t>
  </si>
  <si>
    <t>SGC1913</t>
  </si>
  <si>
    <t>.4,500.</t>
  </si>
  <si>
    <t>SGC.1918</t>
  </si>
  <si>
    <t>SGC.2313</t>
  </si>
  <si>
    <t>SGC.2317</t>
  </si>
  <si>
    <t>SGC.2321</t>
  </si>
  <si>
    <t>SGC.2813</t>
  </si>
  <si>
    <t>.4,200.</t>
  </si>
  <si>
    <t>SGC.2817</t>
  </si>
  <si>
    <t>SGC.2821</t>
  </si>
  <si>
    <t>SGC.2824</t>
  </si>
  <si>
    <t>SGCH/B.3511</t>
  </si>
  <si>
    <t>SGCH/B.3515</t>
  </si>
  <si>
    <t>SGCH/B.3519</t>
  </si>
  <si>
    <t>SGCB.3524</t>
  </si>
  <si>
    <t>Rotor</t>
  </si>
  <si>
    <t>VMY236H (DP&lt;20 b)</t>
  </si>
  <si>
    <t>VMY236B (DP&lt;8 b)</t>
  </si>
  <si>
    <t>VMY236M (DP&lt;16 b)</t>
  </si>
  <si>
    <t>VMY536H (DP&lt;20 b)</t>
  </si>
  <si>
    <t>VMY536M (DP&lt;16 b)</t>
  </si>
  <si>
    <t>VMY536B (DP&lt;8 b)</t>
  </si>
  <si>
    <t>VMY436H (DP&lt;20 b)</t>
  </si>
  <si>
    <t>VMY436M (DP&lt;16 b)</t>
  </si>
  <si>
    <t>VMY436B (DP&lt;8 b)</t>
  </si>
  <si>
    <t>VMY336H (DP&lt;20 b)</t>
  </si>
  <si>
    <t>VMY336M (DP&lt;16 b)</t>
  </si>
  <si>
    <t>VMY336B (DP&lt;8 b)</t>
  </si>
  <si>
    <t>Aerzen</t>
  </si>
  <si>
    <t>Attention , Delta P max spécifié !</t>
  </si>
  <si>
    <t>BVR</t>
  </si>
  <si>
    <t>Pinlet</t>
  </si>
  <si>
    <t>Pr</t>
  </si>
  <si>
    <t>Ideal Poutlet</t>
  </si>
  <si>
    <t>Qatar 1</t>
  </si>
  <si>
    <t>m_HP</t>
  </si>
  <si>
    <t>m_LP</t>
  </si>
  <si>
    <t>LP/HP</t>
  </si>
  <si>
    <t>LP Am3/h</t>
  </si>
  <si>
    <t>HP Am3/h</t>
  </si>
  <si>
    <t>Nb_LP</t>
  </si>
  <si>
    <t>Nb_HP</t>
  </si>
  <si>
    <t>400MUD-LB</t>
  </si>
  <si>
    <t>400SUD-L</t>
  </si>
  <si>
    <t>RPM</t>
  </si>
  <si>
    <t>Screw LP</t>
  </si>
  <si>
    <t>Screw HP</t>
  </si>
  <si>
    <t>T
(K)</t>
  </si>
  <si>
    <t>LP
(bar abs)</t>
  </si>
  <si>
    <t>MP
(bar abs)</t>
  </si>
  <si>
    <t>HP
(bar abs)</t>
  </si>
  <si>
    <t>%vol
LP</t>
  </si>
  <si>
    <t>%vol
HP</t>
  </si>
  <si>
    <t>NEED
(screw displacement)</t>
  </si>
  <si>
    <t>LP
(Am3/h)</t>
  </si>
  <si>
    <t>HP
(Am3/h)</t>
  </si>
  <si>
    <t>KSTAR</t>
  </si>
  <si>
    <t>400SUD-MB</t>
  </si>
  <si>
    <t>320SUD-L</t>
  </si>
  <si>
    <t>S</t>
  </si>
  <si>
    <t>ESS</t>
  </si>
  <si>
    <t>Actual flow
(process need)</t>
  </si>
  <si>
    <t>Qatar 3</t>
  </si>
  <si>
    <t xml:space="preserve"> </t>
  </si>
  <si>
    <t>Qatar 2</t>
  </si>
  <si>
    <t>TMCP</t>
  </si>
  <si>
    <t>LEP 12kW</t>
  </si>
  <si>
    <t>SNS20K</t>
  </si>
  <si>
    <t>Power @4,5K</t>
  </si>
  <si>
    <t>Tmoy</t>
  </si>
  <si>
    <t>Rdt W/W</t>
  </si>
  <si>
    <t>Rdt %</t>
  </si>
  <si>
    <t>4,5K</t>
  </si>
  <si>
    <t>20K</t>
  </si>
  <si>
    <t>Rdt expected (Green)</t>
  </si>
  <si>
    <t>Power WCS
(kW)</t>
  </si>
  <si>
    <t>HX1
UA</t>
  </si>
</sst>
</file>

<file path=xl/styles.xml><?xml version="1.0" encoding="utf-8"?>
<styleSheet xmlns="http://schemas.openxmlformats.org/spreadsheetml/2006/main">
  <numFmts count="15">
    <numFmt numFmtId="43" formatCode="_-* #,##0.00\ _€_-;\-* #,##0.00\ _€_-;_-* &quot;-&quot;??\ _€_-;_-@_-"/>
    <numFmt numFmtId="164" formatCode="###0;###0"/>
    <numFmt numFmtId="165" formatCode="General&quot; RPM&quot;"/>
    <numFmt numFmtId="166" formatCode="General&quot; Hz&quot;"/>
    <numFmt numFmtId="167" formatCode="#,##0&quot; CFM&quot;"/>
    <numFmt numFmtId="168" formatCode="#,##0&quot; m3/h&quot;"/>
    <numFmt numFmtId="169" formatCode="#,##0.00&quot; g/s&quot;"/>
    <numFmt numFmtId="170" formatCode="#,##0&quot; W&quot;"/>
    <numFmt numFmtId="171" formatCode="#,##0&quot; kW&quot;"/>
    <numFmt numFmtId="172" formatCode="0.0"/>
    <numFmt numFmtId="173" formatCode="###0.00;###0.00"/>
    <numFmt numFmtId="174" formatCode="###0.00000;###0.00000"/>
    <numFmt numFmtId="175" formatCode="###0.000000;###0.000000"/>
    <numFmt numFmtId="176" formatCode="###0.0;###0.0"/>
    <numFmt numFmtId="180" formatCode="_-* #,##0\ _€_-;\-* #,##0\ _€_-;_-* &quot;-&quot;??\ _€_-;_-@_-"/>
  </numFmts>
  <fonts count="38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1"/>
      <charset val="204"/>
    </font>
    <font>
      <sz val="8"/>
      <color indexed="54"/>
      <name val="Arial"/>
      <family val="1"/>
      <charset val="204"/>
    </font>
    <font>
      <sz val="12"/>
      <color indexed="8"/>
      <name val="Arial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</font>
    <font>
      <sz val="12"/>
      <name val="Times New Roman"/>
      <family val="1"/>
      <charset val="204"/>
    </font>
    <font>
      <b/>
      <sz val="12"/>
      <color indexed="8"/>
      <name val="Arial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color rgb="FF0000FF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555555"/>
      <name val="Arial"/>
      <family val="2"/>
    </font>
    <font>
      <sz val="10"/>
      <color rgb="FFFF0000"/>
      <name val="Arial"/>
      <family val="2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02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21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horizontal="left" vertical="top" wrapText="1"/>
    </xf>
    <xf numFmtId="164" fontId="22" fillId="33" borderId="0" xfId="0" applyNumberFormat="1" applyFont="1" applyFill="1" applyAlignment="1">
      <alignment horizontal="left" vertical="top" wrapText="1"/>
    </xf>
    <xf numFmtId="164" fontId="22" fillId="33" borderId="0" xfId="0" applyNumberFormat="1" applyFont="1" applyFill="1" applyAlignment="1">
      <alignment horizontal="center" vertical="top" wrapText="1"/>
    </xf>
    <xf numFmtId="0" fontId="21" fillId="33" borderId="0" xfId="0" applyFont="1" applyFill="1" applyAlignment="1">
      <alignment horizontal="left" vertical="top"/>
    </xf>
    <xf numFmtId="0" fontId="23" fillId="33" borderId="0" xfId="0" applyFont="1" applyFill="1">
      <alignment vertical="top" wrapText="1"/>
    </xf>
    <xf numFmtId="0" fontId="24" fillId="33" borderId="10" xfId="0" applyFont="1" applyFill="1" applyBorder="1" applyAlignment="1">
      <alignment horizontal="left" vertical="top"/>
    </xf>
    <xf numFmtId="0" fontId="25" fillId="33" borderId="10" xfId="0" applyFont="1" applyFill="1" applyBorder="1" applyAlignment="1">
      <alignment vertical="top"/>
    </xf>
    <xf numFmtId="0" fontId="19" fillId="33" borderId="0" xfId="0" applyFont="1" applyFill="1" applyAlignment="1">
      <alignment horizontal="left" vertical="top" wrapText="1"/>
    </xf>
    <xf numFmtId="0" fontId="19" fillId="33" borderId="0" xfId="0" applyFont="1" applyFill="1" applyAlignment="1">
      <alignment vertical="top" wrapText="1"/>
    </xf>
    <xf numFmtId="165" fontId="26" fillId="33" borderId="0" xfId="0" applyNumberFormat="1" applyFont="1" applyFill="1">
      <alignment vertical="top" wrapText="1"/>
    </xf>
    <xf numFmtId="166" fontId="0" fillId="33" borderId="0" xfId="0" applyNumberFormat="1" applyFill="1">
      <alignment vertical="top" wrapText="1"/>
    </xf>
    <xf numFmtId="167" fontId="0" fillId="33" borderId="0" xfId="0" applyNumberFormat="1" applyFill="1">
      <alignment vertical="top" wrapText="1"/>
    </xf>
    <xf numFmtId="168" fontId="0" fillId="33" borderId="0" xfId="0" applyNumberFormat="1" applyFill="1">
      <alignment vertical="top" wrapText="1"/>
    </xf>
    <xf numFmtId="0" fontId="28" fillId="33" borderId="0" xfId="0" applyFont="1" applyFill="1">
      <alignment vertical="top" wrapText="1"/>
    </xf>
    <xf numFmtId="0" fontId="0" fillId="33" borderId="0" xfId="0" applyFill="1" applyAlignment="1">
      <alignment vertical="top"/>
    </xf>
    <xf numFmtId="169" fontId="0" fillId="33" borderId="0" xfId="0" applyNumberFormat="1" applyFill="1">
      <alignment vertical="top" wrapText="1"/>
    </xf>
    <xf numFmtId="170" fontId="0" fillId="33" borderId="0" xfId="42" applyNumberFormat="1" applyFont="1" applyFill="1" applyAlignment="1">
      <alignment vertical="top" wrapText="1"/>
    </xf>
    <xf numFmtId="9" fontId="29" fillId="34" borderId="0" xfId="0" applyNumberFormat="1" applyFont="1" applyFill="1">
      <alignment vertical="top" wrapText="1"/>
    </xf>
    <xf numFmtId="0" fontId="29" fillId="34" borderId="0" xfId="0" applyFont="1" applyFill="1">
      <alignment vertical="top" wrapText="1"/>
    </xf>
    <xf numFmtId="166" fontId="29" fillId="34" borderId="0" xfId="0" applyNumberFormat="1" applyFont="1" applyFill="1">
      <alignment vertical="top" wrapText="1"/>
    </xf>
    <xf numFmtId="171" fontId="0" fillId="33" borderId="0" xfId="42" applyNumberFormat="1" applyFont="1" applyFill="1" applyAlignment="1">
      <alignment vertical="top" wrapText="1"/>
    </xf>
    <xf numFmtId="0" fontId="28" fillId="33" borderId="0" xfId="0" applyFont="1" applyFill="1" applyAlignment="1">
      <alignment horizontal="center" vertical="top" wrapText="1"/>
    </xf>
    <xf numFmtId="0" fontId="31" fillId="33" borderId="0" xfId="0" applyFont="1" applyFill="1" applyAlignment="1">
      <alignment horizontal="left" vertical="top"/>
    </xf>
    <xf numFmtId="0" fontId="32" fillId="33" borderId="0" xfId="0" applyFont="1" applyFill="1">
      <alignment vertical="top" wrapText="1"/>
    </xf>
    <xf numFmtId="0" fontId="28" fillId="33" borderId="11" xfId="0" applyFont="1" applyFill="1" applyBorder="1" applyAlignment="1">
      <alignment horizontal="centerContinuous" vertical="top" wrapText="1"/>
    </xf>
    <xf numFmtId="0" fontId="28" fillId="33" borderId="12" xfId="0" applyFont="1" applyFill="1" applyBorder="1" applyAlignment="1">
      <alignment horizontal="centerContinuous" vertical="top" wrapText="1"/>
    </xf>
    <xf numFmtId="0" fontId="28" fillId="33" borderId="13" xfId="0" applyFont="1" applyFill="1" applyBorder="1" applyAlignment="1">
      <alignment horizontal="centerContinuous" vertical="top" wrapText="1"/>
    </xf>
    <xf numFmtId="0" fontId="28" fillId="33" borderId="14" xfId="0" applyFont="1" applyFill="1" applyBorder="1" applyAlignment="1">
      <alignment horizontal="center" vertical="top" wrapText="1"/>
    </xf>
    <xf numFmtId="0" fontId="28" fillId="33" borderId="0" xfId="0" applyFont="1" applyFill="1" applyBorder="1" applyAlignment="1">
      <alignment horizontal="center" vertical="top" wrapText="1"/>
    </xf>
    <xf numFmtId="0" fontId="28" fillId="33" borderId="15" xfId="0" applyFont="1" applyFill="1" applyBorder="1" applyAlignment="1">
      <alignment horizontal="center" vertical="top" wrapText="1"/>
    </xf>
    <xf numFmtId="0" fontId="28" fillId="33" borderId="16" xfId="0" applyFont="1" applyFill="1" applyBorder="1" applyAlignment="1">
      <alignment horizontal="center" vertical="top" wrapText="1"/>
    </xf>
    <xf numFmtId="0" fontId="28" fillId="33" borderId="10" xfId="0" applyFont="1" applyFill="1" applyBorder="1" applyAlignment="1">
      <alignment horizontal="center" vertical="top" wrapText="1"/>
    </xf>
    <xf numFmtId="0" fontId="28" fillId="33" borderId="17" xfId="0" applyFont="1" applyFill="1" applyBorder="1" applyAlignment="1">
      <alignment horizontal="center" vertical="top" wrapText="1"/>
    </xf>
    <xf numFmtId="172" fontId="0" fillId="33" borderId="16" xfId="0" applyNumberFormat="1" applyFill="1" applyBorder="1" applyAlignment="1">
      <alignment horizontal="center" vertical="top" wrapText="1"/>
    </xf>
    <xf numFmtId="172" fontId="0" fillId="33" borderId="10" xfId="0" applyNumberFormat="1" applyFill="1" applyBorder="1" applyAlignment="1">
      <alignment horizontal="center" vertical="top" wrapText="1"/>
    </xf>
    <xf numFmtId="172" fontId="0" fillId="33" borderId="17" xfId="0" applyNumberFormat="1" applyFill="1" applyBorder="1" applyAlignment="1">
      <alignment horizontal="center" vertical="top" wrapText="1"/>
    </xf>
    <xf numFmtId="0" fontId="0" fillId="36" borderId="0" xfId="0" applyFill="1">
      <alignment vertical="top" wrapText="1"/>
    </xf>
    <xf numFmtId="0" fontId="0" fillId="37" borderId="0" xfId="0" applyFill="1">
      <alignment vertical="top" wrapText="1"/>
    </xf>
    <xf numFmtId="0" fontId="30" fillId="38" borderId="0" xfId="0" applyFont="1" applyFill="1">
      <alignment vertical="top" wrapText="1"/>
    </xf>
    <xf numFmtId="0" fontId="33" fillId="0" borderId="0" xfId="0" applyFont="1" applyAlignment="1">
      <alignment horizontal="left" vertical="top" indent="1"/>
    </xf>
    <xf numFmtId="0" fontId="34" fillId="0" borderId="0" xfId="0" applyFont="1" applyAlignment="1">
      <alignment horizontal="left" vertical="top" indent="1"/>
    </xf>
    <xf numFmtId="0" fontId="36" fillId="35" borderId="28" xfId="0" applyFont="1" applyFill="1" applyBorder="1" applyAlignment="1">
      <alignment horizontal="left" vertical="top" wrapText="1"/>
    </xf>
    <xf numFmtId="0" fontId="36" fillId="35" borderId="29" xfId="0" applyFont="1" applyFill="1" applyBorder="1" applyAlignment="1">
      <alignment horizontal="left" vertical="top" wrapText="1"/>
    </xf>
    <xf numFmtId="174" fontId="37" fillId="35" borderId="29" xfId="0" applyNumberFormat="1" applyFont="1" applyFill="1" applyBorder="1" applyAlignment="1">
      <alignment horizontal="left" vertical="top" wrapText="1"/>
    </xf>
    <xf numFmtId="175" fontId="37" fillId="35" borderId="29" xfId="0" applyNumberFormat="1" applyFont="1" applyFill="1" applyBorder="1" applyAlignment="1">
      <alignment horizontal="left" vertical="top" wrapText="1"/>
    </xf>
    <xf numFmtId="43" fontId="36" fillId="35" borderId="29" xfId="42" applyFont="1" applyFill="1" applyBorder="1" applyAlignment="1">
      <alignment horizontal="left" vertical="top" wrapText="1"/>
    </xf>
    <xf numFmtId="43" fontId="0" fillId="0" borderId="0" xfId="42" applyFont="1" applyAlignment="1">
      <alignment vertical="top" wrapText="1"/>
    </xf>
    <xf numFmtId="0" fontId="0" fillId="39" borderId="0" xfId="0" applyFill="1">
      <alignment vertical="top" wrapText="1"/>
    </xf>
    <xf numFmtId="0" fontId="0" fillId="40" borderId="0" xfId="0" applyFill="1">
      <alignment vertical="top" wrapText="1"/>
    </xf>
    <xf numFmtId="0" fontId="0" fillId="34" borderId="0" xfId="0" applyFill="1">
      <alignment vertical="top" wrapText="1"/>
    </xf>
    <xf numFmtId="0" fontId="0" fillId="33" borderId="0" xfId="0" applyFill="1" applyBorder="1">
      <alignment vertical="top" wrapText="1"/>
    </xf>
    <xf numFmtId="0" fontId="0" fillId="33" borderId="0" xfId="0" applyFill="1" applyAlignment="1">
      <alignment horizontal="center" vertical="top" wrapText="1"/>
    </xf>
    <xf numFmtId="4" fontId="0" fillId="33" borderId="0" xfId="0" applyNumberFormat="1" applyFill="1" applyBorder="1" applyAlignment="1">
      <alignment horizontal="center" vertical="top" wrapText="1"/>
    </xf>
    <xf numFmtId="0" fontId="19" fillId="33" borderId="0" xfId="0" applyFont="1" applyFill="1" applyAlignment="1">
      <alignment horizontal="left" vertical="top" wrapText="1"/>
    </xf>
    <xf numFmtId="0" fontId="35" fillId="35" borderId="18" xfId="0" applyFont="1" applyFill="1" applyBorder="1" applyAlignment="1">
      <alignment horizontal="center" vertical="top" wrapText="1"/>
    </xf>
    <xf numFmtId="0" fontId="35" fillId="35" borderId="19" xfId="0" applyFont="1" applyFill="1" applyBorder="1" applyAlignment="1">
      <alignment horizontal="center" vertical="top" wrapText="1"/>
    </xf>
    <xf numFmtId="0" fontId="35" fillId="35" borderId="20" xfId="0" applyFont="1" applyFill="1" applyBorder="1" applyAlignment="1">
      <alignment horizontal="center" vertical="top" wrapText="1"/>
    </xf>
    <xf numFmtId="0" fontId="36" fillId="35" borderId="21" xfId="0" applyFont="1" applyFill="1" applyBorder="1" applyAlignment="1">
      <alignment horizontal="center" wrapText="1"/>
    </xf>
    <xf numFmtId="0" fontId="36" fillId="35" borderId="22" xfId="0" applyFont="1" applyFill="1" applyBorder="1" applyAlignment="1">
      <alignment horizontal="center" wrapText="1"/>
    </xf>
    <xf numFmtId="0" fontId="36" fillId="35" borderId="25" xfId="0" applyFont="1" applyFill="1" applyBorder="1" applyAlignment="1">
      <alignment horizontal="center" wrapText="1"/>
    </xf>
    <xf numFmtId="0" fontId="36" fillId="35" borderId="26" xfId="0" applyFont="1" applyFill="1" applyBorder="1" applyAlignment="1">
      <alignment horizontal="center" wrapText="1"/>
    </xf>
    <xf numFmtId="0" fontId="36" fillId="35" borderId="21" xfId="0" applyFont="1" applyFill="1" applyBorder="1" applyAlignment="1">
      <alignment horizontal="center" vertical="center" wrapText="1"/>
    </xf>
    <xf numFmtId="0" fontId="36" fillId="35" borderId="23" xfId="0" applyFont="1" applyFill="1" applyBorder="1" applyAlignment="1">
      <alignment horizontal="center" vertical="center" wrapText="1"/>
    </xf>
    <xf numFmtId="0" fontId="36" fillId="35" borderId="22" xfId="0" applyFont="1" applyFill="1" applyBorder="1" applyAlignment="1">
      <alignment horizontal="center" vertical="center" wrapText="1"/>
    </xf>
    <xf numFmtId="0" fontId="36" fillId="35" borderId="25" xfId="0" applyFont="1" applyFill="1" applyBorder="1" applyAlignment="1">
      <alignment horizontal="center" vertical="center" wrapText="1"/>
    </xf>
    <xf numFmtId="0" fontId="36" fillId="35" borderId="27" xfId="0" applyFont="1" applyFill="1" applyBorder="1" applyAlignment="1">
      <alignment horizontal="center" vertical="center" wrapText="1"/>
    </xf>
    <xf numFmtId="0" fontId="36" fillId="35" borderId="26" xfId="0" applyFont="1" applyFill="1" applyBorder="1" applyAlignment="1">
      <alignment horizontal="center" vertical="center" wrapText="1"/>
    </xf>
    <xf numFmtId="0" fontId="36" fillId="35" borderId="24" xfId="0" applyFont="1" applyFill="1" applyBorder="1" applyAlignment="1">
      <alignment horizontal="center" vertical="center" wrapText="1"/>
    </xf>
    <xf numFmtId="0" fontId="36" fillId="35" borderId="28" xfId="0" applyFont="1" applyFill="1" applyBorder="1" applyAlignment="1">
      <alignment horizontal="center" vertical="center" wrapText="1"/>
    </xf>
    <xf numFmtId="0" fontId="36" fillId="35" borderId="21" xfId="0" applyFont="1" applyFill="1" applyBorder="1" applyAlignment="1">
      <alignment horizontal="center" vertical="top" wrapText="1"/>
    </xf>
    <xf numFmtId="0" fontId="36" fillId="35" borderId="22" xfId="0" applyFont="1" applyFill="1" applyBorder="1" applyAlignment="1">
      <alignment horizontal="center" vertical="top" wrapText="1"/>
    </xf>
    <xf numFmtId="43" fontId="36" fillId="35" borderId="24" xfId="42" applyFont="1" applyFill="1" applyBorder="1" applyAlignment="1">
      <alignment horizontal="center" wrapText="1"/>
    </xf>
    <xf numFmtId="43" fontId="36" fillId="35" borderId="28" xfId="42" applyFont="1" applyFill="1" applyBorder="1" applyAlignment="1">
      <alignment horizontal="center" wrapText="1"/>
    </xf>
    <xf numFmtId="0" fontId="36" fillId="35" borderId="18" xfId="0" applyFont="1" applyFill="1" applyBorder="1" applyAlignment="1">
      <alignment horizontal="left" vertical="top" wrapText="1"/>
    </xf>
    <xf numFmtId="0" fontId="36" fillId="35" borderId="20" xfId="0" applyFont="1" applyFill="1" applyBorder="1" applyAlignment="1">
      <alignment horizontal="left" vertical="top" wrapText="1"/>
    </xf>
    <xf numFmtId="164" fontId="37" fillId="35" borderId="18" xfId="0" applyNumberFormat="1" applyFont="1" applyFill="1" applyBorder="1" applyAlignment="1">
      <alignment horizontal="center" vertical="top" wrapText="1"/>
    </xf>
    <xf numFmtId="164" fontId="37" fillId="35" borderId="19" xfId="0" applyNumberFormat="1" applyFont="1" applyFill="1" applyBorder="1" applyAlignment="1">
      <alignment horizontal="center" vertical="top" wrapText="1"/>
    </xf>
    <xf numFmtId="164" fontId="37" fillId="35" borderId="20" xfId="0" applyNumberFormat="1" applyFont="1" applyFill="1" applyBorder="1" applyAlignment="1">
      <alignment horizontal="center" vertical="top" wrapText="1"/>
    </xf>
    <xf numFmtId="173" fontId="37" fillId="35" borderId="18" xfId="0" applyNumberFormat="1" applyFont="1" applyFill="1" applyBorder="1" applyAlignment="1">
      <alignment horizontal="center" vertical="top" wrapText="1"/>
    </xf>
    <xf numFmtId="173" fontId="37" fillId="35" borderId="20" xfId="0" applyNumberFormat="1" applyFont="1" applyFill="1" applyBorder="1" applyAlignment="1">
      <alignment horizontal="center" vertical="top" wrapText="1"/>
    </xf>
    <xf numFmtId="176" fontId="37" fillId="35" borderId="18" xfId="0" applyNumberFormat="1" applyFont="1" applyFill="1" applyBorder="1" applyAlignment="1">
      <alignment horizontal="center" vertical="top" wrapText="1"/>
    </xf>
    <xf numFmtId="176" fontId="37" fillId="35" borderId="20" xfId="0" applyNumberFormat="1" applyFont="1" applyFill="1" applyBorder="1" applyAlignment="1">
      <alignment horizontal="center" vertical="top" wrapText="1"/>
    </xf>
    <xf numFmtId="9" fontId="0" fillId="33" borderId="0" xfId="43" applyFont="1" applyFill="1" applyAlignment="1">
      <alignment vertical="top" wrapText="1"/>
    </xf>
    <xf numFmtId="0" fontId="0" fillId="33" borderId="30" xfId="0" applyFill="1" applyBorder="1">
      <alignment vertical="top" wrapText="1"/>
    </xf>
    <xf numFmtId="0" fontId="0" fillId="33" borderId="30" xfId="0" applyFill="1" applyBorder="1" applyAlignment="1">
      <alignment horizontal="center" vertical="top" wrapText="1"/>
    </xf>
    <xf numFmtId="0" fontId="0" fillId="36" borderId="30" xfId="0" applyFill="1" applyBorder="1" applyAlignment="1">
      <alignment horizontal="center" vertical="top" wrapText="1"/>
    </xf>
    <xf numFmtId="0" fontId="28" fillId="33" borderId="30" xfId="0" applyFont="1" applyFill="1" applyBorder="1" applyAlignment="1">
      <alignment horizontal="center" vertical="top" wrapText="1"/>
    </xf>
    <xf numFmtId="0" fontId="28" fillId="33" borderId="30" xfId="0" applyFont="1" applyFill="1" applyBorder="1">
      <alignment vertical="top" wrapText="1"/>
    </xf>
    <xf numFmtId="0" fontId="28" fillId="36" borderId="30" xfId="0" applyFont="1" applyFill="1" applyBorder="1" applyAlignment="1">
      <alignment horizontal="center" vertical="top" wrapText="1"/>
    </xf>
    <xf numFmtId="180" fontId="0" fillId="33" borderId="30" xfId="0" applyNumberFormat="1" applyFill="1" applyBorder="1" applyAlignment="1">
      <alignment horizontal="center" vertical="top" wrapText="1"/>
    </xf>
    <xf numFmtId="9" fontId="26" fillId="33" borderId="30" xfId="0" applyNumberFormat="1" applyFont="1" applyFill="1" applyBorder="1" applyAlignment="1">
      <alignment horizontal="center" vertical="top" wrapText="1"/>
    </xf>
    <xf numFmtId="0" fontId="28" fillId="33" borderId="0" xfId="0" applyFont="1" applyFill="1" applyAlignment="1">
      <alignment horizontal="centerContinuous" vertical="top" wrapText="1"/>
    </xf>
    <xf numFmtId="0" fontId="29" fillId="33" borderId="30" xfId="0" applyFont="1" applyFill="1" applyBorder="1" applyAlignment="1">
      <alignment horizontal="center" vertical="top" wrapText="1"/>
    </xf>
    <xf numFmtId="0" fontId="30" fillId="33" borderId="30" xfId="0" applyFont="1" applyFill="1" applyBorder="1">
      <alignment vertical="top" wrapText="1"/>
    </xf>
    <xf numFmtId="10" fontId="29" fillId="33" borderId="30" xfId="0" applyNumberFormat="1" applyFont="1" applyFill="1" applyBorder="1" applyAlignment="1">
      <alignment horizontal="center" vertical="top" wrapText="1"/>
    </xf>
    <xf numFmtId="10" fontId="30" fillId="33" borderId="30" xfId="0" applyNumberFormat="1" applyFont="1" applyFill="1" applyBorder="1" applyAlignment="1">
      <alignment horizontal="center" vertical="top" wrapText="1"/>
    </xf>
    <xf numFmtId="3" fontId="0" fillId="33" borderId="30" xfId="0" applyNumberFormat="1" applyFill="1" applyBorder="1" applyAlignment="1">
      <alignment horizontal="center" vertical="top" wrapText="1"/>
    </xf>
    <xf numFmtId="172" fontId="0" fillId="33" borderId="30" xfId="0" applyNumberFormat="1" applyFill="1" applyBorder="1" applyAlignment="1">
      <alignment horizontal="center" vertical="top" wrapText="1"/>
    </xf>
    <xf numFmtId="172" fontId="0" fillId="33" borderId="30" xfId="43" applyNumberFormat="1" applyFont="1" applyFill="1" applyBorder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gi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693964</xdr:colOff>
      <xdr:row>14</xdr:row>
      <xdr:rowOff>163285</xdr:rowOff>
    </xdr:from>
    <xdr:to>
      <xdr:col>27</xdr:col>
      <xdr:colOff>231321</xdr:colOff>
      <xdr:row>23</xdr:row>
      <xdr:rowOff>220434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31535" y="2612571"/>
          <a:ext cx="8259536" cy="28330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29695</xdr:colOff>
      <xdr:row>23</xdr:row>
      <xdr:rowOff>168089</xdr:rowOff>
    </xdr:from>
    <xdr:to>
      <xdr:col>37</xdr:col>
      <xdr:colOff>105896</xdr:colOff>
      <xdr:row>53</xdr:row>
      <xdr:rowOff>4483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5430" y="4796118"/>
          <a:ext cx="9758083" cy="521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529937</xdr:colOff>
      <xdr:row>5</xdr:row>
      <xdr:rowOff>19916</xdr:rowOff>
    </xdr:from>
    <xdr:to>
      <xdr:col>36</xdr:col>
      <xdr:colOff>50223</xdr:colOff>
      <xdr:row>21</xdr:row>
      <xdr:rowOff>153266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66664" y="1232189"/>
          <a:ext cx="9720696" cy="3181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4076</xdr:rowOff>
    </xdr:from>
    <xdr:to>
      <xdr:col>10</xdr:col>
      <xdr:colOff>260587</xdr:colOff>
      <xdr:row>73</xdr:row>
      <xdr:rowOff>60920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645849"/>
          <a:ext cx="6339269" cy="45768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486311</xdr:colOff>
      <xdr:row>11</xdr:row>
      <xdr:rowOff>140711</xdr:rowOff>
    </xdr:from>
    <xdr:to>
      <xdr:col>22</xdr:col>
      <xdr:colOff>207744</xdr:colOff>
      <xdr:row>38</xdr:row>
      <xdr:rowOff>149447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67811" y="2474336"/>
          <a:ext cx="7841496" cy="5152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476250</xdr:colOff>
      <xdr:row>38</xdr:row>
      <xdr:rowOff>195262</xdr:rowOff>
    </xdr:from>
    <xdr:to>
      <xdr:col>22</xdr:col>
      <xdr:colOff>504825</xdr:colOff>
      <xdr:row>49</xdr:row>
      <xdr:rowOff>133349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14900" y="7710487"/>
          <a:ext cx="8277225" cy="1833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285750</xdr:colOff>
      <xdr:row>10</xdr:row>
      <xdr:rowOff>85725</xdr:rowOff>
    </xdr:from>
    <xdr:to>
      <xdr:col>36</xdr:col>
      <xdr:colOff>142875</xdr:colOff>
      <xdr:row>23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06175" y="1704975"/>
          <a:ext cx="8924925" cy="203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266700</xdr:colOff>
      <xdr:row>27</xdr:row>
      <xdr:rowOff>37042</xdr:rowOff>
    </xdr:from>
    <xdr:to>
      <xdr:col>16</xdr:col>
      <xdr:colOff>114300</xdr:colOff>
      <xdr:row>36</xdr:row>
      <xdr:rowOff>133350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0" y="2465917"/>
          <a:ext cx="4648200" cy="1553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240846</xdr:colOff>
      <xdr:row>60</xdr:row>
      <xdr:rowOff>4082</xdr:rowOff>
    </xdr:from>
    <xdr:to>
      <xdr:col>12</xdr:col>
      <xdr:colOff>97971</xdr:colOff>
      <xdr:row>82</xdr:row>
      <xdr:rowOff>61232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846" y="9801225"/>
          <a:ext cx="7123339" cy="36494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171450</xdr:colOff>
      <xdr:row>29</xdr:row>
      <xdr:rowOff>104775</xdr:rowOff>
    </xdr:from>
    <xdr:to>
      <xdr:col>9</xdr:col>
      <xdr:colOff>352425</xdr:colOff>
      <xdr:row>53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4850" y="4800600"/>
          <a:ext cx="5334000" cy="3819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18</xdr:col>
      <xdr:colOff>457200</xdr:colOff>
      <xdr:row>28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9125" y="0"/>
          <a:ext cx="10325100" cy="4657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485775</xdr:colOff>
      <xdr:row>28</xdr:row>
      <xdr:rowOff>9525</xdr:rowOff>
    </xdr:from>
    <xdr:to>
      <xdr:col>17</xdr:col>
      <xdr:colOff>352425</xdr:colOff>
      <xdr:row>72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72200" y="4543425"/>
          <a:ext cx="4133850" cy="7229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57150</xdr:colOff>
      <xdr:row>5</xdr:row>
      <xdr:rowOff>114300</xdr:rowOff>
    </xdr:from>
    <xdr:to>
      <xdr:col>38</xdr:col>
      <xdr:colOff>76200</xdr:colOff>
      <xdr:row>49</xdr:row>
      <xdr:rowOff>85725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077575" y="923925"/>
          <a:ext cx="10153650" cy="709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87</xdr:row>
      <xdr:rowOff>95250</xdr:rowOff>
    </xdr:from>
    <xdr:to>
      <xdr:col>9</xdr:col>
      <xdr:colOff>0</xdr:colOff>
      <xdr:row>108</xdr:row>
      <xdr:rowOff>38100</xdr:rowOff>
    </xdr:to>
    <xdr:pic>
      <xdr:nvPicPr>
        <xdr:cNvPr id="2" name="Picture 1" descr="D:\Users\vincent.heloin\Documents\Training\aaa\Compressor\Mycom\Capacity - 1 Stage a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" y="14182725"/>
          <a:ext cx="5153025" cy="3343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85</xdr:row>
      <xdr:rowOff>133350</xdr:rowOff>
    </xdr:from>
    <xdr:to>
      <xdr:col>17</xdr:col>
      <xdr:colOff>390525</xdr:colOff>
      <xdr:row>122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67425" y="13896975"/>
          <a:ext cx="4276725" cy="5895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272142</xdr:colOff>
      <xdr:row>84</xdr:row>
      <xdr:rowOff>68035</xdr:rowOff>
    </xdr:from>
    <xdr:to>
      <xdr:col>26</xdr:col>
      <xdr:colOff>179614</xdr:colOff>
      <xdr:row>120</xdr:row>
      <xdr:rowOff>144235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22428" y="13784035"/>
          <a:ext cx="4152900" cy="59544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200025</xdr:colOff>
      <xdr:row>44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00825" cy="7153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38100</xdr:rowOff>
    </xdr:from>
    <xdr:to>
      <xdr:col>12</xdr:col>
      <xdr:colOff>228600</xdr:colOff>
      <xdr:row>77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162800"/>
          <a:ext cx="6629400" cy="535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495300</xdr:colOff>
      <xdr:row>42</xdr:row>
      <xdr:rowOff>133350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962900" cy="6962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38100</xdr:colOff>
      <xdr:row>19</xdr:row>
      <xdr:rowOff>114300</xdr:rowOff>
    </xdr:from>
    <xdr:to>
      <xdr:col>26</xdr:col>
      <xdr:colOff>466725</xdr:colOff>
      <xdr:row>36</xdr:row>
      <xdr:rowOff>57150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9100" y="3190875"/>
          <a:ext cx="6534150" cy="2695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38100</xdr:colOff>
      <xdr:row>45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72300" cy="738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25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057650" cy="417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400050</xdr:colOff>
      <xdr:row>0</xdr:row>
      <xdr:rowOff>0</xdr:rowOff>
    </xdr:from>
    <xdr:to>
      <xdr:col>16</xdr:col>
      <xdr:colOff>390525</xdr:colOff>
      <xdr:row>34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0"/>
          <a:ext cx="4791075" cy="5657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438150</xdr:colOff>
      <xdr:row>0</xdr:row>
      <xdr:rowOff>0</xdr:rowOff>
    </xdr:from>
    <xdr:to>
      <xdr:col>26</xdr:col>
      <xdr:colOff>304800</xdr:colOff>
      <xdr:row>32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0"/>
          <a:ext cx="5200650" cy="518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409575</xdr:colOff>
      <xdr:row>0</xdr:row>
      <xdr:rowOff>0</xdr:rowOff>
    </xdr:from>
    <xdr:to>
      <xdr:col>36</xdr:col>
      <xdr:colOff>142875</xdr:colOff>
      <xdr:row>31</xdr:row>
      <xdr:rowOff>38100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77975" y="0"/>
          <a:ext cx="5067300" cy="505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98"/>
  <sheetViews>
    <sheetView topLeftCell="C44" zoomScale="115" zoomScaleNormal="115" workbookViewId="0">
      <selection activeCell="K57" sqref="K57"/>
    </sheetView>
  </sheetViews>
  <sheetFormatPr defaultRowHeight="12.75"/>
  <cols>
    <col min="1" max="1" width="36.6640625" style="1" customWidth="1"/>
    <col min="2" max="2" width="11" style="1" hidden="1" customWidth="1"/>
    <col min="3" max="3" width="20.5" style="1" customWidth="1"/>
    <col min="4" max="4" width="21" style="1" customWidth="1"/>
    <col min="5" max="5" width="14" style="1" customWidth="1"/>
    <col min="6" max="6" width="14.6640625" style="1" bestFit="1" customWidth="1"/>
    <col min="7" max="7" width="14.1640625" style="1" customWidth="1"/>
    <col min="8" max="8" width="6" style="1" customWidth="1"/>
    <col min="9" max="9" width="9.33203125" style="1"/>
    <col min="10" max="10" width="15.1640625" style="1" bestFit="1" customWidth="1"/>
    <col min="11" max="13" width="11.5" style="1" customWidth="1"/>
    <col min="14" max="14" width="15" style="1" customWidth="1"/>
    <col min="15" max="15" width="11.5" style="1" customWidth="1"/>
    <col min="16" max="16" width="12.6640625" style="1" customWidth="1"/>
    <col min="17" max="19" width="14" style="1" bestFit="1" customWidth="1"/>
    <col min="20" max="24" width="9.33203125" style="1"/>
    <col min="25" max="25" width="28.1640625" style="1" customWidth="1"/>
    <col min="26" max="26" width="14" style="1" bestFit="1" customWidth="1"/>
    <col min="27" max="27" width="9.33203125" style="1"/>
    <col min="28" max="28" width="14" style="1" bestFit="1" customWidth="1"/>
    <col min="29" max="16384" width="9.33203125" style="1"/>
  </cols>
  <sheetData>
    <row r="2" spans="1:31">
      <c r="P2" s="1" t="s">
        <v>189</v>
      </c>
      <c r="Q2" s="1" t="s">
        <v>51</v>
      </c>
      <c r="R2" s="1" t="s">
        <v>50</v>
      </c>
      <c r="Z2" s="54"/>
      <c r="AA2" s="54"/>
    </row>
    <row r="3" spans="1:31">
      <c r="K3" s="16" t="s">
        <v>74</v>
      </c>
      <c r="L3" s="16"/>
      <c r="M3" s="16"/>
      <c r="N3" s="16" t="s">
        <v>75</v>
      </c>
      <c r="P3" s="27" t="s">
        <v>90</v>
      </c>
      <c r="Q3" s="28"/>
      <c r="R3" s="28"/>
      <c r="S3" s="28"/>
      <c r="T3" s="28"/>
      <c r="U3" s="29"/>
      <c r="Y3" s="53" t="s">
        <v>160</v>
      </c>
      <c r="Z3" s="55">
        <v>2.2000000000000002</v>
      </c>
      <c r="AA3" s="55">
        <v>2.6</v>
      </c>
      <c r="AC3" s="53" t="s">
        <v>160</v>
      </c>
      <c r="AD3" s="55">
        <v>2.6</v>
      </c>
      <c r="AE3" s="55">
        <v>2.6</v>
      </c>
    </row>
    <row r="4" spans="1:31">
      <c r="K4" s="1">
        <v>1.6</v>
      </c>
      <c r="P4" s="27" t="s">
        <v>84</v>
      </c>
      <c r="Q4" s="28"/>
      <c r="R4" s="29"/>
      <c r="S4" s="27" t="s">
        <v>85</v>
      </c>
      <c r="T4" s="28"/>
      <c r="U4" s="29"/>
      <c r="Y4" s="53" t="s">
        <v>161</v>
      </c>
      <c r="Z4" s="55">
        <v>1.05</v>
      </c>
      <c r="AA4" s="55">
        <f>Z5</f>
        <v>3.7073670726485015</v>
      </c>
      <c r="AC4" s="53" t="s">
        <v>161</v>
      </c>
      <c r="AD4" s="55">
        <v>1.01</v>
      </c>
      <c r="AE4" s="55">
        <f>AD5</f>
        <v>4.6588500294945367</v>
      </c>
    </row>
    <row r="5" spans="1:31" ht="25.5">
      <c r="J5" s="1" t="s">
        <v>69</v>
      </c>
      <c r="K5" s="21">
        <v>1.05</v>
      </c>
      <c r="N5" s="1">
        <f>K8</f>
        <v>5.4</v>
      </c>
      <c r="P5" s="30" t="s">
        <v>83</v>
      </c>
      <c r="Q5" s="31" t="s">
        <v>83</v>
      </c>
      <c r="R5" s="32" t="s">
        <v>83</v>
      </c>
      <c r="S5" s="30" t="s">
        <v>83</v>
      </c>
      <c r="T5" s="31" t="s">
        <v>83</v>
      </c>
      <c r="U5" s="32" t="s">
        <v>83</v>
      </c>
      <c r="Y5" s="53" t="s">
        <v>163</v>
      </c>
      <c r="Z5" s="55">
        <f>$Z$4*$Z$3^($K$4)</f>
        <v>3.7073670726485015</v>
      </c>
      <c r="AA5" s="55">
        <f>$AA$4*$AA$3^($K$4)</f>
        <v>17.101056629460935</v>
      </c>
      <c r="AC5" s="53" t="s">
        <v>163</v>
      </c>
      <c r="AD5" s="55">
        <f>$AD$4*$AD$3^($K$4)</f>
        <v>4.6588500294945367</v>
      </c>
      <c r="AE5" s="55">
        <f>$AA$4*$AA$3^($K$4)</f>
        <v>17.101056629460935</v>
      </c>
    </row>
    <row r="6" spans="1:31">
      <c r="J6" s="1" t="s">
        <v>70</v>
      </c>
      <c r="K6" s="21">
        <f>273+50</f>
        <v>323</v>
      </c>
      <c r="N6" s="21">
        <v>313</v>
      </c>
      <c r="P6" s="33">
        <v>2.63</v>
      </c>
      <c r="Q6" s="34">
        <v>3.65</v>
      </c>
      <c r="R6" s="35">
        <v>5.8</v>
      </c>
      <c r="S6" s="33">
        <v>2.63</v>
      </c>
      <c r="T6" s="34">
        <v>3.65</v>
      </c>
      <c r="U6" s="35">
        <v>5.8</v>
      </c>
      <c r="Y6" s="53" t="s">
        <v>162</v>
      </c>
      <c r="Z6" s="55">
        <f>Z5/Z4</f>
        <v>3.5308257834747634</v>
      </c>
      <c r="AA6" s="55">
        <f>AA5/AA4</f>
        <v>4.6127228014797392</v>
      </c>
      <c r="AC6" s="53" t="s">
        <v>162</v>
      </c>
      <c r="AD6" s="55">
        <f>AD5/AD4</f>
        <v>4.6127228014797392</v>
      </c>
      <c r="AE6" s="55">
        <f>AE5/AE4</f>
        <v>3.6706604679688128</v>
      </c>
    </row>
    <row r="7" spans="1:31">
      <c r="C7" s="17" t="s">
        <v>71</v>
      </c>
      <c r="D7" s="1">
        <v>28.958600656000002</v>
      </c>
      <c r="J7" s="1" t="s">
        <v>73</v>
      </c>
      <c r="K7" s="1">
        <f>D8*K5*273.15/(K6)*4/D7</f>
        <v>0.15647988511378624</v>
      </c>
      <c r="N7" s="1">
        <f>D8*N5*273.15/(N6)*4/D7</f>
        <v>0.83046467553770253</v>
      </c>
      <c r="P7" s="36">
        <f>$K$5*$P$6^($K$4)</f>
        <v>4.9330838410989841</v>
      </c>
      <c r="Q7" s="37">
        <f>$K$5*$Q$6^($K$4)</f>
        <v>8.3340841681596558</v>
      </c>
      <c r="R7" s="38">
        <f>$K$5*$R$6^($K$4)</f>
        <v>17.485340291798348</v>
      </c>
      <c r="S7" s="36">
        <f>$N$5*$S$6^($K$4)</f>
        <v>25.370145468509062</v>
      </c>
      <c r="T7" s="37">
        <f>$N$5*$T$6^($K$4)</f>
        <v>42.861004293392519</v>
      </c>
      <c r="U7" s="38">
        <f>$N$5*$U$6^($K$4)</f>
        <v>89.924607214962933</v>
      </c>
    </row>
    <row r="8" spans="1:31">
      <c r="C8" s="17" t="s">
        <v>72</v>
      </c>
      <c r="D8" s="1">
        <v>1.2758162153163073</v>
      </c>
      <c r="J8" s="1" t="s">
        <v>76</v>
      </c>
      <c r="K8" s="21">
        <v>5.4</v>
      </c>
      <c r="N8" s="21">
        <v>27</v>
      </c>
      <c r="P8" s="1">
        <f>P7/K5</f>
        <v>4.6981750867609371</v>
      </c>
      <c r="Z8" s="1">
        <v>3.5</v>
      </c>
      <c r="AA8" s="1">
        <v>3.5</v>
      </c>
      <c r="AD8" s="1">
        <v>3.5</v>
      </c>
      <c r="AE8" s="1">
        <v>3.5</v>
      </c>
    </row>
    <row r="9" spans="1:31">
      <c r="J9" s="1" t="s">
        <v>77</v>
      </c>
      <c r="K9" s="20">
        <v>0.54800000000000004</v>
      </c>
      <c r="N9" s="20">
        <v>0.59299999999999997</v>
      </c>
      <c r="Z9" s="1">
        <f>Z4*Z8</f>
        <v>3.6750000000000003</v>
      </c>
      <c r="AA9" s="1">
        <f>Z9*AA8</f>
        <v>12.862500000000001</v>
      </c>
      <c r="AD9" s="1">
        <f>AD4*AD8</f>
        <v>3.5350000000000001</v>
      </c>
      <c r="AE9" s="1">
        <f>AD9*AE8</f>
        <v>12.3725</v>
      </c>
    </row>
    <row r="10" spans="1:31">
      <c r="J10" s="1" t="s">
        <v>107</v>
      </c>
      <c r="K10" s="1">
        <f>(K8/K5)^(1/K4)</f>
        <v>2.7829332389455184</v>
      </c>
      <c r="M10" s="1" t="s">
        <v>107</v>
      </c>
      <c r="N10" s="1">
        <f>(N8/N5)^(1/1.66)</f>
        <v>2.6367336862944177</v>
      </c>
      <c r="P10" s="1">
        <v>1.05</v>
      </c>
      <c r="Q10" s="1">
        <f>P10*3.5</f>
        <v>3.6750000000000003</v>
      </c>
      <c r="R10" s="1">
        <f>Q10*3.5</f>
        <v>12.862500000000001</v>
      </c>
      <c r="W10" s="16" t="s">
        <v>50</v>
      </c>
      <c r="X10" s="16">
        <v>2.63</v>
      </c>
    </row>
    <row r="11" spans="1:31">
      <c r="K11" s="1">
        <f>K8/K5</f>
        <v>5.1428571428571432</v>
      </c>
      <c r="N11" s="1">
        <f>N8/N5</f>
        <v>5</v>
      </c>
      <c r="P11" s="1">
        <v>2</v>
      </c>
      <c r="Q11" s="1">
        <f>P11*3.5</f>
        <v>7</v>
      </c>
      <c r="R11" s="1">
        <f>Q11*3.5</f>
        <v>24.5</v>
      </c>
      <c r="W11" s="16" t="s">
        <v>51</v>
      </c>
      <c r="X11" s="16">
        <v>3.65</v>
      </c>
      <c r="AB11" s="1">
        <v>1.1000000000000001</v>
      </c>
      <c r="AC11" s="1">
        <f>AB11*3.5</f>
        <v>3.8500000000000005</v>
      </c>
      <c r="AD11" s="1">
        <f>AC11*3.5</f>
        <v>13.475000000000001</v>
      </c>
    </row>
    <row r="12" spans="1:31">
      <c r="E12" s="13">
        <f>E13/60</f>
        <v>59.166666666666664</v>
      </c>
      <c r="F12" s="13">
        <f>F13/60</f>
        <v>49</v>
      </c>
      <c r="G12" s="13">
        <v>60</v>
      </c>
      <c r="J12" s="22">
        <v>59</v>
      </c>
      <c r="W12" s="16" t="s">
        <v>52</v>
      </c>
      <c r="X12" s="16">
        <v>5.8</v>
      </c>
      <c r="AB12" s="1">
        <v>1.05</v>
      </c>
    </row>
    <row r="13" spans="1:31">
      <c r="C13" s="16" t="s">
        <v>67</v>
      </c>
      <c r="D13" s="16" t="s">
        <v>78</v>
      </c>
      <c r="E13" s="12">
        <v>3550</v>
      </c>
      <c r="F13" s="12">
        <v>2940</v>
      </c>
      <c r="G13" s="12">
        <v>3550</v>
      </c>
      <c r="I13" s="1" t="s">
        <v>68</v>
      </c>
      <c r="J13" s="12">
        <f>J12/F12*F13</f>
        <v>3540</v>
      </c>
      <c r="K13" s="24" t="s">
        <v>79</v>
      </c>
      <c r="L13" s="24" t="s">
        <v>80</v>
      </c>
      <c r="M13" s="24"/>
      <c r="N13" s="24" t="s">
        <v>81</v>
      </c>
      <c r="O13" s="24" t="s">
        <v>82</v>
      </c>
      <c r="AB13" s="1">
        <v>7</v>
      </c>
    </row>
    <row r="14" spans="1:31" ht="25.5">
      <c r="A14" s="1" t="str">
        <f t="shared" ref="A14:A59" si="0">C14&amp;"-"&amp;D14&amp;" "&amp;J14&amp;" m3/h"</f>
        <v>MYCOM-125SUD 237,329577464789 m3/h</v>
      </c>
      <c r="C14" s="41" t="s">
        <v>66</v>
      </c>
      <c r="D14" s="1" t="s">
        <v>53</v>
      </c>
      <c r="E14" s="14">
        <v>140</v>
      </c>
      <c r="F14" s="15">
        <f>G14*$F$13/$G$13</f>
        <v>197.10422535211268</v>
      </c>
      <c r="G14" s="15">
        <v>238</v>
      </c>
      <c r="I14" s="20">
        <v>0.79</v>
      </c>
      <c r="J14" s="15">
        <f>F14*$J$13/$F$13</f>
        <v>237.32957746478871</v>
      </c>
      <c r="K14" s="18">
        <f t="shared" ref="K14:K29" si="1">J14*$K$7*1000/3600</f>
        <v>10.315918059942659</v>
      </c>
      <c r="L14" s="23">
        <f t="shared" ref="L14:L29" si="2">K14*8.314*$K$6/4*LN($K$8/$K$5)/$K$9/1000</f>
        <v>20.696172578000933</v>
      </c>
      <c r="N14" s="18">
        <f t="shared" ref="N14:N29" si="3">J14*$N$7*1000/3600</f>
        <v>54.748286262443273</v>
      </c>
      <c r="O14" s="23">
        <f t="shared" ref="O14:O29" si="4">N14*8.314*$N$6/4*LN($N$8/$N$5)/$N$9/1000</f>
        <v>96.668377617216635</v>
      </c>
      <c r="AB14" s="1">
        <f>AB13/AB12</f>
        <v>6.6666666666666661</v>
      </c>
    </row>
    <row r="15" spans="1:31" ht="25.5">
      <c r="A15" s="1" t="str">
        <f t="shared" si="0"/>
        <v>MYCOM-200 VSD 973,250704225352 m3/h</v>
      </c>
      <c r="C15" s="41" t="s">
        <v>66</v>
      </c>
      <c r="D15" s="1" t="s">
        <v>56</v>
      </c>
      <c r="E15" s="14">
        <v>574</v>
      </c>
      <c r="F15" s="15">
        <f t="shared" ref="F15:F28" si="5">G15*$F$13/$G$13</f>
        <v>808.29295774647892</v>
      </c>
      <c r="G15" s="15">
        <v>976</v>
      </c>
      <c r="I15" s="20">
        <v>0.79</v>
      </c>
      <c r="J15" s="15">
        <f t="shared" ref="J15:J26" si="6">F15*$J$13/$F$13</f>
        <v>973.25070422535214</v>
      </c>
      <c r="K15" s="18">
        <f t="shared" si="1"/>
        <v>42.30393288447074</v>
      </c>
      <c r="L15" s="23">
        <f t="shared" si="2"/>
        <v>84.871699311466017</v>
      </c>
      <c r="N15" s="18">
        <f t="shared" si="3"/>
        <v>224.51398063926322</v>
      </c>
      <c r="O15" s="23">
        <f t="shared" si="4"/>
        <v>396.42158216135914</v>
      </c>
    </row>
    <row r="16" spans="1:31" ht="25.5">
      <c r="A16" s="1" t="str">
        <f t="shared" si="0"/>
        <v>MYCOM-200 VMD 1217,56056338028 m3/h</v>
      </c>
      <c r="C16" s="41" t="s">
        <v>66</v>
      </c>
      <c r="D16" s="1" t="s">
        <v>57</v>
      </c>
      <c r="E16" s="14">
        <v>718</v>
      </c>
      <c r="F16" s="15">
        <f t="shared" si="5"/>
        <v>1011.1943661971831</v>
      </c>
      <c r="G16" s="15">
        <v>1221</v>
      </c>
      <c r="I16" s="20">
        <v>0.79</v>
      </c>
      <c r="J16" s="15">
        <f t="shared" si="6"/>
        <v>1217.5605633802816</v>
      </c>
      <c r="K16" s="18">
        <f t="shared" si="1"/>
        <v>52.923260299117594</v>
      </c>
      <c r="L16" s="23">
        <f t="shared" si="2"/>
        <v>106.17658284764343</v>
      </c>
      <c r="N16" s="18">
        <f t="shared" si="3"/>
        <v>280.87251061530776</v>
      </c>
      <c r="O16" s="23">
        <f t="shared" si="4"/>
        <v>495.93314735555271</v>
      </c>
    </row>
    <row r="17" spans="1:15" ht="25.5">
      <c r="A17" s="1" t="str">
        <f t="shared" si="0"/>
        <v>MYCOM-200 VLD 1456,88450704225 m3/h</v>
      </c>
      <c r="C17" s="41" t="s">
        <v>66</v>
      </c>
      <c r="D17" s="1" t="s">
        <v>58</v>
      </c>
      <c r="E17" s="14">
        <v>859</v>
      </c>
      <c r="F17" s="15">
        <f t="shared" si="5"/>
        <v>1209.9549295774648</v>
      </c>
      <c r="G17" s="15">
        <v>1461</v>
      </c>
      <c r="I17" s="20">
        <v>0.79</v>
      </c>
      <c r="J17" s="15">
        <f t="shared" si="6"/>
        <v>1456.8845070422535</v>
      </c>
      <c r="K17" s="18">
        <f t="shared" si="1"/>
        <v>63.325866746118592</v>
      </c>
      <c r="L17" s="23">
        <f t="shared" si="2"/>
        <v>127.04667284226623</v>
      </c>
      <c r="N17" s="18">
        <f t="shared" si="3"/>
        <v>336.08086651020858</v>
      </c>
      <c r="O17" s="23">
        <f t="shared" si="4"/>
        <v>593.41386428047701</v>
      </c>
    </row>
    <row r="18" spans="1:15" ht="25.5">
      <c r="A18" s="1" t="str">
        <f t="shared" si="0"/>
        <v>MYCOM-250 VSD 1898,63661971831 m3/h</v>
      </c>
      <c r="C18" s="41" t="s">
        <v>66</v>
      </c>
      <c r="D18" s="1" t="s">
        <v>59</v>
      </c>
      <c r="E18" s="14">
        <v>1120</v>
      </c>
      <c r="F18" s="15">
        <f t="shared" si="5"/>
        <v>1576.8338028169014</v>
      </c>
      <c r="G18" s="15">
        <v>1904</v>
      </c>
      <c r="I18" s="20">
        <v>0.79</v>
      </c>
      <c r="J18" s="15">
        <f t="shared" si="6"/>
        <v>1898.6366197183097</v>
      </c>
      <c r="K18" s="18">
        <f t="shared" si="1"/>
        <v>82.52734447954127</v>
      </c>
      <c r="L18" s="23">
        <f t="shared" si="2"/>
        <v>165.56938062400747</v>
      </c>
      <c r="N18" s="18">
        <f t="shared" si="3"/>
        <v>437.98629009954618</v>
      </c>
      <c r="O18" s="23">
        <f t="shared" si="4"/>
        <v>773.34702093773308</v>
      </c>
    </row>
    <row r="19" spans="1:15" ht="25.5">
      <c r="A19" s="1" t="str">
        <f t="shared" si="0"/>
        <v>MYCOM-250 VMD 2373,29577464789 m3/h</v>
      </c>
      <c r="C19" s="41" t="s">
        <v>66</v>
      </c>
      <c r="D19" s="1" t="s">
        <v>60</v>
      </c>
      <c r="E19" s="14">
        <v>1400</v>
      </c>
      <c r="F19" s="15">
        <f t="shared" si="5"/>
        <v>1971.0422535211267</v>
      </c>
      <c r="G19" s="15">
        <v>2380</v>
      </c>
      <c r="I19" s="20">
        <v>0.79</v>
      </c>
      <c r="J19" s="15">
        <f t="shared" si="6"/>
        <v>2373.2957746478874</v>
      </c>
      <c r="K19" s="18">
        <f t="shared" si="1"/>
        <v>103.15918059942659</v>
      </c>
      <c r="L19" s="23">
        <f t="shared" si="2"/>
        <v>206.96172578000932</v>
      </c>
      <c r="N19" s="18">
        <f t="shared" si="3"/>
        <v>547.48286262443287</v>
      </c>
      <c r="O19" s="23">
        <f t="shared" si="4"/>
        <v>966.68377617216686</v>
      </c>
    </row>
    <row r="20" spans="1:15">
      <c r="A20" s="1" t="str">
        <f t="shared" si="0"/>
        <v>MYCOM-250 VLD 2832 m3/h</v>
      </c>
      <c r="C20" s="41" t="s">
        <v>66</v>
      </c>
      <c r="D20" s="1" t="s">
        <v>61</v>
      </c>
      <c r="E20" s="14">
        <v>1670</v>
      </c>
      <c r="F20" s="15">
        <f t="shared" si="5"/>
        <v>2352</v>
      </c>
      <c r="G20" s="15">
        <v>2840</v>
      </c>
      <c r="I20" s="20">
        <v>0.79</v>
      </c>
      <c r="J20" s="15">
        <f t="shared" si="6"/>
        <v>2832</v>
      </c>
      <c r="K20" s="18">
        <f t="shared" si="1"/>
        <v>123.09750962284517</v>
      </c>
      <c r="L20" s="23">
        <f t="shared" si="2"/>
        <v>246.96273160303627</v>
      </c>
      <c r="N20" s="18">
        <f t="shared" si="3"/>
        <v>653.2988780896593</v>
      </c>
      <c r="O20" s="23">
        <f t="shared" si="4"/>
        <v>1153.5218169449383</v>
      </c>
    </row>
    <row r="21" spans="1:15" ht="25.5">
      <c r="A21" s="1" t="str">
        <f t="shared" si="0"/>
        <v>MYCOM-250 VLLD 3357,51549295775 m3/h</v>
      </c>
      <c r="C21" s="41" t="s">
        <v>66</v>
      </c>
      <c r="D21" s="1" t="s">
        <v>62</v>
      </c>
      <c r="E21" s="14">
        <v>1980</v>
      </c>
      <c r="F21" s="15">
        <f t="shared" si="5"/>
        <v>2788.4450704225351</v>
      </c>
      <c r="G21" s="15">
        <v>3367</v>
      </c>
      <c r="I21" s="20">
        <v>0.79</v>
      </c>
      <c r="J21" s="15">
        <f t="shared" si="6"/>
        <v>3357.5154929577461</v>
      </c>
      <c r="K21" s="18">
        <f t="shared" si="1"/>
        <v>145.93989961271816</v>
      </c>
      <c r="L21" s="23">
        <f t="shared" si="2"/>
        <v>292.78997088289549</v>
      </c>
      <c r="N21" s="18">
        <f t="shared" si="3"/>
        <v>774.52722624221224</v>
      </c>
      <c r="O21" s="23">
        <f t="shared" si="4"/>
        <v>1367.573224525918</v>
      </c>
    </row>
    <row r="22" spans="1:15" ht="25.5" collapsed="1">
      <c r="A22" s="1" t="str">
        <f t="shared" si="0"/>
        <v>MYCOM-320 VSD 3815,22253521127 m3/h</v>
      </c>
      <c r="C22" s="41" t="s">
        <v>66</v>
      </c>
      <c r="D22" s="1" t="s">
        <v>63</v>
      </c>
      <c r="E22" s="14">
        <v>2250</v>
      </c>
      <c r="F22" s="15">
        <f t="shared" si="5"/>
        <v>3168.5746478873239</v>
      </c>
      <c r="G22" s="15">
        <v>3826</v>
      </c>
      <c r="I22" s="20">
        <v>0.79</v>
      </c>
      <c r="J22" s="15">
        <f t="shared" si="6"/>
        <v>3815.2225352112673</v>
      </c>
      <c r="K22" s="18">
        <f t="shared" si="1"/>
        <v>165.8348844426076</v>
      </c>
      <c r="L22" s="23">
        <f t="shared" si="2"/>
        <v>332.70401799761163</v>
      </c>
      <c r="N22" s="18">
        <f t="shared" si="3"/>
        <v>880.11320689120987</v>
      </c>
      <c r="O22" s="23">
        <f t="shared" si="4"/>
        <v>1554.0050956448356</v>
      </c>
    </row>
    <row r="23" spans="1:15" ht="25.5">
      <c r="A23" s="1" t="str">
        <f t="shared" si="0"/>
        <v>MYCOM-320 VMD 4747,58873239437 m3/h</v>
      </c>
      <c r="C23" s="41" t="s">
        <v>66</v>
      </c>
      <c r="D23" s="1" t="s">
        <v>64</v>
      </c>
      <c r="E23" s="14">
        <v>2800</v>
      </c>
      <c r="F23" s="15">
        <f t="shared" si="5"/>
        <v>3942.9126760563381</v>
      </c>
      <c r="G23" s="15">
        <v>4761</v>
      </c>
      <c r="I23" s="20">
        <v>0.79</v>
      </c>
      <c r="J23" s="15">
        <f t="shared" si="6"/>
        <v>4747.5887323943662</v>
      </c>
      <c r="K23" s="18">
        <f t="shared" si="1"/>
        <v>206.36170539238233</v>
      </c>
      <c r="L23" s="23">
        <f t="shared" si="2"/>
        <v>414.01041026832957</v>
      </c>
      <c r="N23" s="18">
        <f t="shared" si="3"/>
        <v>1095.1957600650942</v>
      </c>
      <c r="O23" s="23">
        <f t="shared" si="4"/>
        <v>1933.7737219981868</v>
      </c>
    </row>
    <row r="24" spans="1:15" ht="25.5">
      <c r="A24" s="1" t="str">
        <f t="shared" si="0"/>
        <v>MYCOM-320 VLD 5679,95492957747 m3/h</v>
      </c>
      <c r="C24" s="41" t="s">
        <v>66</v>
      </c>
      <c r="D24" s="1" t="s">
        <v>65</v>
      </c>
      <c r="E24" s="14">
        <v>3350</v>
      </c>
      <c r="F24" s="15">
        <f t="shared" si="5"/>
        <v>4717.2507042253519</v>
      </c>
      <c r="G24" s="15">
        <v>5696</v>
      </c>
      <c r="I24" s="20">
        <v>0.79</v>
      </c>
      <c r="J24" s="15">
        <f t="shared" si="6"/>
        <v>5679.954929577465</v>
      </c>
      <c r="K24" s="18">
        <f t="shared" si="1"/>
        <v>246.88852634215712</v>
      </c>
      <c r="L24" s="23">
        <f t="shared" si="2"/>
        <v>495.31680253904756</v>
      </c>
      <c r="M24" s="19"/>
      <c r="N24" s="18">
        <f t="shared" si="3"/>
        <v>1310.2783132389789</v>
      </c>
      <c r="O24" s="23">
        <f t="shared" si="4"/>
        <v>2313.5423483515392</v>
      </c>
    </row>
    <row r="25" spans="1:15" ht="25.5">
      <c r="A25" s="1" t="str">
        <f t="shared" si="0"/>
        <v>MYCOM-400SUD 7782,01690140845 m3/h</v>
      </c>
      <c r="C25" s="41" t="s">
        <v>66</v>
      </c>
      <c r="D25" s="1" t="s">
        <v>55</v>
      </c>
      <c r="E25" s="14">
        <v>4590</v>
      </c>
      <c r="F25" s="15">
        <f t="shared" si="5"/>
        <v>6463.0309859154931</v>
      </c>
      <c r="G25" s="15">
        <v>7804</v>
      </c>
      <c r="I25" s="20">
        <v>0.79</v>
      </c>
      <c r="J25" s="15">
        <f t="shared" si="6"/>
        <v>7782.0169014084513</v>
      </c>
      <c r="K25" s="18">
        <f t="shared" si="1"/>
        <v>338.25808630164926</v>
      </c>
      <c r="L25" s="23">
        <f t="shared" si="2"/>
        <v>678.62575965848441</v>
      </c>
      <c r="M25" s="19"/>
      <c r="N25" s="18">
        <f t="shared" si="3"/>
        <v>1795.1917058491908</v>
      </c>
      <c r="O25" s="23">
        <f t="shared" si="4"/>
        <v>3169.7479786754575</v>
      </c>
    </row>
    <row r="26" spans="1:15" ht="25.5">
      <c r="A26" s="1" t="str">
        <f t="shared" si="0"/>
        <v>MYCOM-400MUD 9664,6985915493 m3/h</v>
      </c>
      <c r="C26" s="41" t="s">
        <v>66</v>
      </c>
      <c r="D26" s="1" t="s">
        <v>54</v>
      </c>
      <c r="E26" s="14">
        <v>5760</v>
      </c>
      <c r="F26" s="15">
        <f t="shared" si="5"/>
        <v>8026.6140845070422</v>
      </c>
      <c r="G26" s="15">
        <v>9692</v>
      </c>
      <c r="I26" s="20">
        <v>0.79</v>
      </c>
      <c r="J26" s="15">
        <f t="shared" si="6"/>
        <v>9664.6985915492951</v>
      </c>
      <c r="K26" s="18">
        <f t="shared" si="1"/>
        <v>420.09192368472372</v>
      </c>
      <c r="L26" s="23">
        <f t="shared" si="2"/>
        <v>842.80380094951681</v>
      </c>
      <c r="M26" s="19"/>
      <c r="N26" s="18">
        <f t="shared" si="3"/>
        <v>2229.4974388890764</v>
      </c>
      <c r="O26" s="23">
        <f t="shared" si="4"/>
        <v>3936.5962851515283</v>
      </c>
    </row>
    <row r="27" spans="1:15">
      <c r="A27" s="1" t="str">
        <f t="shared" si="0"/>
        <v>MYCOM-400LUD 11682 m3/h</v>
      </c>
      <c r="C27" s="41" t="s">
        <v>66</v>
      </c>
      <c r="D27" s="1" t="s">
        <v>108</v>
      </c>
      <c r="E27" s="14">
        <v>5760</v>
      </c>
      <c r="F27" s="15">
        <f t="shared" si="5"/>
        <v>9702</v>
      </c>
      <c r="G27" s="15">
        <v>11715</v>
      </c>
      <c r="I27" s="20">
        <v>0.79</v>
      </c>
      <c r="J27" s="15">
        <f t="shared" ref="J27" si="7">F27*$J$13/$F$13</f>
        <v>11682</v>
      </c>
      <c r="K27" s="18">
        <f t="shared" si="1"/>
        <v>507.77722719423633</v>
      </c>
      <c r="L27" s="23">
        <f t="shared" si="2"/>
        <v>1018.721267862525</v>
      </c>
      <c r="M27" s="19"/>
      <c r="N27" s="18">
        <f t="shared" si="3"/>
        <v>2694.8578721198451</v>
      </c>
      <c r="O27" s="23">
        <f t="shared" si="4"/>
        <v>4758.2774948978722</v>
      </c>
    </row>
    <row r="28" spans="1:15" ht="25.5">
      <c r="A28" s="1" t="str">
        <f t="shared" si="0"/>
        <v>MYCOM-400LLUD 13768,1070422535 m3/h</v>
      </c>
      <c r="C28" s="41" t="s">
        <v>66</v>
      </c>
      <c r="D28" s="1" t="s">
        <v>109</v>
      </c>
      <c r="E28" s="14">
        <v>5760</v>
      </c>
      <c r="F28" s="15">
        <f t="shared" si="5"/>
        <v>11434.529577464789</v>
      </c>
      <c r="G28" s="15">
        <v>13807</v>
      </c>
      <c r="I28" s="20">
        <v>0.79</v>
      </c>
      <c r="J28" s="15">
        <f t="shared" ref="J28" si="8">F28*$J$13/$F$13</f>
        <v>13768.107042253521</v>
      </c>
      <c r="K28" s="18">
        <f t="shared" si="1"/>
        <v>598.45328005726174</v>
      </c>
      <c r="L28" s="23">
        <f t="shared" si="2"/>
        <v>1200.6388856489868</v>
      </c>
      <c r="M28" s="19"/>
      <c r="N28" s="18">
        <f t="shared" si="3"/>
        <v>3176.0907076703966</v>
      </c>
      <c r="O28" s="23">
        <f t="shared" si="4"/>
        <v>5607.9844107601275</v>
      </c>
    </row>
    <row r="29" spans="1:15" ht="25.5">
      <c r="A29" s="1" t="str">
        <f t="shared" si="0"/>
        <v>Howden-WRV 163/1.45 662,244897959184 m3/h</v>
      </c>
      <c r="C29" s="39" t="s">
        <v>86</v>
      </c>
      <c r="D29" s="1" t="s">
        <v>2</v>
      </c>
      <c r="E29" s="14">
        <f>F29/1.699011*$E$13/$F$13</f>
        <v>390.88366482530336</v>
      </c>
      <c r="F29" s="15">
        <v>550</v>
      </c>
      <c r="G29" s="15">
        <f>$G$13/$F$13*F29</f>
        <v>664.11564625850338</v>
      </c>
      <c r="I29" s="20">
        <v>0.79</v>
      </c>
      <c r="J29" s="15">
        <f>F29*$J$13/$F$13</f>
        <v>662.24489795918362</v>
      </c>
      <c r="K29" s="18">
        <f t="shared" si="1"/>
        <v>28.785557097178931</v>
      </c>
      <c r="L29" s="23">
        <f t="shared" si="2"/>
        <v>57.750638767716822</v>
      </c>
      <c r="N29" s="18">
        <f t="shared" si="3"/>
        <v>152.76972064171454</v>
      </c>
      <c r="O29" s="23">
        <f t="shared" si="4"/>
        <v>269.74362215974321</v>
      </c>
    </row>
    <row r="30" spans="1:15" ht="25.5">
      <c r="A30" s="1" t="str">
        <f t="shared" si="0"/>
        <v>Howden-WRV 163/1.80 818,775510204082 m3/h</v>
      </c>
      <c r="C30" s="39" t="s">
        <v>86</v>
      </c>
      <c r="D30" s="1" t="s">
        <v>3</v>
      </c>
      <c r="E30" s="14">
        <f t="shared" ref="E30:E49" si="9">F30/1.699011*$E$13/$F$13</f>
        <v>483.27434923855674</v>
      </c>
      <c r="F30" s="15">
        <v>680</v>
      </c>
      <c r="G30" s="15">
        <f t="shared" ref="G30:G59" si="10">$G$13/$F$13*F30</f>
        <v>821.08843537414964</v>
      </c>
      <c r="I30" s="20">
        <v>0.79</v>
      </c>
      <c r="J30" s="15">
        <f t="shared" ref="J30:J49" si="11">F30*$J$13/$F$13</f>
        <v>818.77551020408168</v>
      </c>
      <c r="K30" s="18">
        <f t="shared" ref="K30:K49" si="12">J30*$K$7*1000/3600</f>
        <v>35.589416047421231</v>
      </c>
      <c r="L30" s="23">
        <f t="shared" ref="L30:L49" si="13">K30*8.314*$K$6/4*LN($K$8/$K$5)/$K$9/1000</f>
        <v>71.400789749177179</v>
      </c>
      <c r="N30" s="18">
        <f t="shared" ref="N30:N49" si="14">J30*$N$7*1000/3600</f>
        <v>188.87892733884709</v>
      </c>
      <c r="O30" s="23">
        <f t="shared" ref="O30:O49" si="15">N30*8.314*$N$6/4*LN($N$8/$N$5)/$N$9/1000</f>
        <v>333.50120557931888</v>
      </c>
    </row>
    <row r="31" spans="1:15" ht="25.5">
      <c r="A31" s="1" t="str">
        <f t="shared" si="0"/>
        <v>Howden-WRV 204/1.10 981,326530612245 m3/h</v>
      </c>
      <c r="C31" s="39" t="s">
        <v>86</v>
      </c>
      <c r="D31" s="1" t="s">
        <v>4</v>
      </c>
      <c r="E31" s="14">
        <f t="shared" si="9"/>
        <v>579.21852151385849</v>
      </c>
      <c r="F31" s="15">
        <v>815</v>
      </c>
      <c r="G31" s="15">
        <f t="shared" si="10"/>
        <v>984.09863945578218</v>
      </c>
      <c r="I31" s="20">
        <v>0.79</v>
      </c>
      <c r="J31" s="15">
        <f t="shared" si="11"/>
        <v>981.32653061224494</v>
      </c>
      <c r="K31" s="18">
        <f t="shared" si="12"/>
        <v>42.654961880365157</v>
      </c>
      <c r="L31" s="23">
        <f t="shared" si="13"/>
        <v>85.575946537616773</v>
      </c>
      <c r="N31" s="18">
        <f t="shared" si="14"/>
        <v>226.37694967817703</v>
      </c>
      <c r="O31" s="23">
        <f t="shared" si="15"/>
        <v>399.71100374580141</v>
      </c>
    </row>
    <row r="32" spans="1:15" ht="25.5">
      <c r="A32" s="1" t="str">
        <f t="shared" si="0"/>
        <v>Howden-WRV 204/1.45 1318,4693877551 m3/h</v>
      </c>
      <c r="C32" s="39" t="s">
        <v>86</v>
      </c>
      <c r="D32" s="1" t="s">
        <v>5</v>
      </c>
      <c r="E32" s="14">
        <f t="shared" si="9"/>
        <v>778.21384178855828</v>
      </c>
      <c r="F32" s="15">
        <v>1095</v>
      </c>
      <c r="G32" s="15">
        <f t="shared" si="10"/>
        <v>1322.1938775510203</v>
      </c>
      <c r="I32" s="20">
        <v>0.79</v>
      </c>
      <c r="J32" s="15">
        <f t="shared" si="11"/>
        <v>1318.4693877551019</v>
      </c>
      <c r="K32" s="18">
        <f t="shared" si="12"/>
        <v>57.309427311656229</v>
      </c>
      <c r="L32" s="23">
        <f t="shared" si="13"/>
        <v>114.97627172845439</v>
      </c>
      <c r="N32" s="18">
        <f t="shared" si="14"/>
        <v>304.15062564123167</v>
      </c>
      <c r="O32" s="23">
        <f t="shared" si="15"/>
        <v>537.03502957257967</v>
      </c>
    </row>
    <row r="33" spans="1:19" ht="25.5">
      <c r="A33" s="1" t="str">
        <f t="shared" si="0"/>
        <v>Howden-WRV 204/1.65 1468,97959183673 m3/h</v>
      </c>
      <c r="C33" s="39" t="s">
        <v>86</v>
      </c>
      <c r="D33" s="1" t="s">
        <v>6</v>
      </c>
      <c r="E33" s="14">
        <f t="shared" si="9"/>
        <v>867.05103833976375</v>
      </c>
      <c r="F33" s="15">
        <v>1220</v>
      </c>
      <c r="G33" s="15">
        <f t="shared" si="10"/>
        <v>1473.1292517006802</v>
      </c>
      <c r="I33" s="20">
        <v>0.79</v>
      </c>
      <c r="J33" s="15">
        <f t="shared" si="11"/>
        <v>1468.9795918367347</v>
      </c>
      <c r="K33" s="18">
        <f t="shared" si="12"/>
        <v>63.851599379196905</v>
      </c>
      <c r="L33" s="23">
        <f t="shared" si="13"/>
        <v>128.10141690293551</v>
      </c>
      <c r="N33" s="18">
        <f t="shared" si="14"/>
        <v>338.87101669616686</v>
      </c>
      <c r="O33" s="23">
        <f t="shared" si="15"/>
        <v>598.34039824524871</v>
      </c>
    </row>
    <row r="34" spans="1:19" ht="25.5">
      <c r="A34" s="1" t="str">
        <f t="shared" si="0"/>
        <v>Howden-WRV 204/1.93 1613,4693877551 m3/h</v>
      </c>
      <c r="C34" s="39" t="s">
        <v>86</v>
      </c>
      <c r="D34" s="1" t="s">
        <v>7</v>
      </c>
      <c r="E34" s="14">
        <f t="shared" si="9"/>
        <v>952.33474702892067</v>
      </c>
      <c r="F34" s="15">
        <v>1340</v>
      </c>
      <c r="G34" s="15">
        <f t="shared" si="10"/>
        <v>1618.0272108843535</v>
      </c>
      <c r="I34" s="20">
        <v>0.79</v>
      </c>
      <c r="J34" s="15">
        <f t="shared" si="11"/>
        <v>1613.4693877551019</v>
      </c>
      <c r="K34" s="18">
        <f t="shared" si="12"/>
        <v>70.132084564035935</v>
      </c>
      <c r="L34" s="23">
        <f t="shared" si="13"/>
        <v>140.70155627043735</v>
      </c>
      <c r="N34" s="18">
        <f t="shared" si="14"/>
        <v>372.20259210890453</v>
      </c>
      <c r="O34" s="23">
        <f t="shared" si="15"/>
        <v>657.19355217101077</v>
      </c>
    </row>
    <row r="35" spans="1:19" ht="25.5">
      <c r="A35" s="1" t="str">
        <f t="shared" si="0"/>
        <v>Howden-WRVi 255/1.10 1914,48979591837 m3/h</v>
      </c>
      <c r="C35" s="39" t="s">
        <v>86</v>
      </c>
      <c r="D35" s="1" t="s">
        <v>8</v>
      </c>
      <c r="E35" s="14">
        <f t="shared" si="9"/>
        <v>1130.0091401313314</v>
      </c>
      <c r="F35" s="15">
        <v>1590</v>
      </c>
      <c r="G35" s="15">
        <f t="shared" si="10"/>
        <v>1919.8979591836733</v>
      </c>
      <c r="I35" s="20">
        <v>0.79</v>
      </c>
      <c r="J35" s="15">
        <f t="shared" si="11"/>
        <v>1914.4897959183672</v>
      </c>
      <c r="K35" s="18">
        <f t="shared" si="12"/>
        <v>83.216428699117273</v>
      </c>
      <c r="L35" s="23">
        <f t="shared" si="13"/>
        <v>166.95184661939956</v>
      </c>
      <c r="N35" s="18">
        <f t="shared" si="14"/>
        <v>441.6433742187748</v>
      </c>
      <c r="O35" s="23">
        <f t="shared" si="15"/>
        <v>779.8042895163486</v>
      </c>
    </row>
    <row r="36" spans="1:19" ht="25.5">
      <c r="A36" s="1" t="str">
        <f t="shared" si="0"/>
        <v>Howden-WRVi 255/1.30 2113,16326530612 m3/h</v>
      </c>
      <c r="C36" s="39" t="s">
        <v>86</v>
      </c>
      <c r="D36" s="1" t="s">
        <v>9</v>
      </c>
      <c r="E36" s="14">
        <f t="shared" si="9"/>
        <v>1247.2742395789226</v>
      </c>
      <c r="F36" s="15">
        <v>1755</v>
      </c>
      <c r="G36" s="15">
        <f t="shared" si="10"/>
        <v>2119.1326530612241</v>
      </c>
      <c r="I36" s="20">
        <v>0.79</v>
      </c>
      <c r="J36" s="15">
        <f t="shared" si="11"/>
        <v>2113.1632653061224</v>
      </c>
      <c r="K36" s="18">
        <f t="shared" si="12"/>
        <v>91.852095828270961</v>
      </c>
      <c r="L36" s="23">
        <f t="shared" si="13"/>
        <v>184.27703824971462</v>
      </c>
      <c r="N36" s="18">
        <f t="shared" si="14"/>
        <v>487.47429041128913</v>
      </c>
      <c r="O36" s="23">
        <f t="shared" si="15"/>
        <v>860.72737616427162</v>
      </c>
    </row>
    <row r="37" spans="1:19" ht="25.5">
      <c r="A37" s="1" t="str">
        <f t="shared" si="0"/>
        <v>Howden-WRVi 255/1.45 2588,77551020408 m3/h</v>
      </c>
      <c r="C37" s="39" t="s">
        <v>86</v>
      </c>
      <c r="D37" s="1" t="s">
        <v>10</v>
      </c>
      <c r="E37" s="14">
        <f t="shared" si="9"/>
        <v>1527.9997806807312</v>
      </c>
      <c r="F37" s="15">
        <v>2150</v>
      </c>
      <c r="G37" s="15">
        <f t="shared" si="10"/>
        <v>2596.0884353741494</v>
      </c>
      <c r="I37" s="20">
        <v>0.79</v>
      </c>
      <c r="J37" s="15">
        <f t="shared" si="11"/>
        <v>2588.7755102040815</v>
      </c>
      <c r="K37" s="18">
        <f t="shared" si="12"/>
        <v>112.52535956169946</v>
      </c>
      <c r="L37" s="23">
        <f t="shared" si="13"/>
        <v>225.75249700107486</v>
      </c>
      <c r="N37" s="18">
        <f t="shared" si="14"/>
        <v>597.19072614488414</v>
      </c>
      <c r="O37" s="23">
        <f t="shared" si="15"/>
        <v>1054.4523411699054</v>
      </c>
    </row>
    <row r="38" spans="1:19" ht="25.5">
      <c r="A38" s="1" t="str">
        <f t="shared" si="0"/>
        <v>Howden-WRVi 255/1.65 2883,77551020408 m3/h</v>
      </c>
      <c r="C38" s="39" t="s">
        <v>86</v>
      </c>
      <c r="D38" s="1" t="s">
        <v>11</v>
      </c>
      <c r="E38" s="14">
        <f t="shared" si="9"/>
        <v>1702.1206859210934</v>
      </c>
      <c r="F38" s="15">
        <v>2395</v>
      </c>
      <c r="G38" s="15">
        <f t="shared" si="10"/>
        <v>2891.9217687074829</v>
      </c>
      <c r="I38" s="20">
        <v>0.79</v>
      </c>
      <c r="J38" s="15">
        <f t="shared" si="11"/>
        <v>2883.7755102040815</v>
      </c>
      <c r="K38" s="18">
        <f t="shared" si="12"/>
        <v>125.34801681407916</v>
      </c>
      <c r="L38" s="23">
        <f t="shared" si="13"/>
        <v>251.4777815430578</v>
      </c>
      <c r="N38" s="18">
        <f t="shared" si="14"/>
        <v>665.24269261255688</v>
      </c>
      <c r="O38" s="23">
        <f t="shared" si="15"/>
        <v>1174.6108637683365</v>
      </c>
    </row>
    <row r="39" spans="1:19" ht="25.5">
      <c r="A39" s="1" t="str">
        <f t="shared" si="0"/>
        <v>Howden-WRVi 255/1.93 3166,73469387755 m3/h</v>
      </c>
      <c r="C39" s="39" t="s">
        <v>86</v>
      </c>
      <c r="D39" s="1" t="s">
        <v>12</v>
      </c>
      <c r="E39" s="14">
        <f t="shared" si="9"/>
        <v>1869.1346154373591</v>
      </c>
      <c r="F39" s="15">
        <v>2630</v>
      </c>
      <c r="G39" s="15">
        <f t="shared" si="10"/>
        <v>3175.6802721088434</v>
      </c>
      <c r="I39" s="20">
        <v>0.79</v>
      </c>
      <c r="J39" s="15">
        <f t="shared" si="11"/>
        <v>3166.7346938775509</v>
      </c>
      <c r="K39" s="18">
        <f t="shared" si="12"/>
        <v>137.64730030105562</v>
      </c>
      <c r="L39" s="23">
        <f t="shared" si="13"/>
        <v>276.15305447108227</v>
      </c>
      <c r="N39" s="18">
        <f t="shared" si="14"/>
        <v>730.51702779583502</v>
      </c>
      <c r="O39" s="23">
        <f t="shared" si="15"/>
        <v>1289.8649568729543</v>
      </c>
    </row>
    <row r="40" spans="1:19" ht="25.5">
      <c r="A40" s="1" t="str">
        <f t="shared" si="0"/>
        <v>Howden-WRV 255/2.20 3841,02040816327 m3/h</v>
      </c>
      <c r="C40" s="39" t="s">
        <v>86</v>
      </c>
      <c r="D40" s="1" t="s">
        <v>13</v>
      </c>
      <c r="E40" s="14">
        <f t="shared" si="9"/>
        <v>2267.1252559867589</v>
      </c>
      <c r="F40" s="15">
        <v>3190</v>
      </c>
      <c r="G40" s="15">
        <f t="shared" si="10"/>
        <v>3851.8707482993195</v>
      </c>
      <c r="I40" s="20">
        <v>0.79</v>
      </c>
      <c r="J40" s="15">
        <f t="shared" si="11"/>
        <v>3841.0204081632655</v>
      </c>
      <c r="K40" s="18">
        <f t="shared" si="12"/>
        <v>166.95623116363785</v>
      </c>
      <c r="L40" s="23">
        <f t="shared" si="13"/>
        <v>334.95370485275765</v>
      </c>
      <c r="N40" s="18">
        <f t="shared" si="14"/>
        <v>886.06437972194453</v>
      </c>
      <c r="O40" s="23">
        <f t="shared" si="15"/>
        <v>1564.5130085265112</v>
      </c>
    </row>
    <row r="41" spans="1:19" ht="25.5" collapsed="1">
      <c r="A41" s="1" t="str">
        <f t="shared" si="0"/>
        <v>Howden-WRVi 321/1.32 4611,63265306122 m3/h</v>
      </c>
      <c r="C41" s="39" t="s">
        <v>86</v>
      </c>
      <c r="D41" s="1" t="s">
        <v>14</v>
      </c>
      <c r="E41" s="14">
        <f t="shared" si="9"/>
        <v>2721.97170232893</v>
      </c>
      <c r="F41" s="15">
        <v>3830</v>
      </c>
      <c r="G41" s="15">
        <f t="shared" si="10"/>
        <v>4624.6598639455779</v>
      </c>
      <c r="I41" s="20">
        <v>0.79</v>
      </c>
      <c r="J41" s="15">
        <f t="shared" si="11"/>
        <v>4611.6326530612241</v>
      </c>
      <c r="K41" s="18">
        <f t="shared" si="12"/>
        <v>200.45215214944599</v>
      </c>
      <c r="L41" s="23">
        <f t="shared" si="13"/>
        <v>402.15444814610072</v>
      </c>
      <c r="N41" s="18">
        <f t="shared" si="14"/>
        <v>1063.8327819232122</v>
      </c>
      <c r="O41" s="23">
        <f t="shared" si="15"/>
        <v>1878.3964961305758</v>
      </c>
      <c r="Q41" s="52">
        <f>19*L42</f>
        <v>9556.1556986361957</v>
      </c>
      <c r="R41" s="1">
        <f>+O42*4</f>
        <v>9396.8869101466917</v>
      </c>
      <c r="S41" s="1">
        <f>Q41+R41</f>
        <v>18953.042608782889</v>
      </c>
    </row>
    <row r="42" spans="1:19" ht="25.5">
      <c r="A42" s="1" t="str">
        <f t="shared" si="0"/>
        <v>Howden-WRVi 321/1.65 5767,55102040816 m3/h</v>
      </c>
      <c r="C42" s="39" t="s">
        <v>86</v>
      </c>
      <c r="D42" s="1" t="s">
        <v>15</v>
      </c>
      <c r="E42" s="14">
        <f t="shared" si="9"/>
        <v>3404.2413718421867</v>
      </c>
      <c r="F42" s="15">
        <v>4790</v>
      </c>
      <c r="G42" s="15">
        <f t="shared" si="10"/>
        <v>5783.8435374149658</v>
      </c>
      <c r="I42" s="20">
        <v>0.79</v>
      </c>
      <c r="J42" s="15">
        <f t="shared" si="11"/>
        <v>5767.5510204081629</v>
      </c>
      <c r="K42" s="18">
        <f t="shared" si="12"/>
        <v>250.69603362815832</v>
      </c>
      <c r="L42" s="23">
        <f t="shared" si="13"/>
        <v>502.9555630861156</v>
      </c>
      <c r="N42" s="18">
        <f t="shared" si="14"/>
        <v>1330.4853852251138</v>
      </c>
      <c r="O42" s="23">
        <f t="shared" si="15"/>
        <v>2349.2217275366729</v>
      </c>
      <c r="Q42" s="1">
        <f>19*K42</f>
        <v>4763.2246389350084</v>
      </c>
      <c r="R42" s="1">
        <f>4*N42</f>
        <v>5321.941540900455</v>
      </c>
    </row>
    <row r="43" spans="1:19" ht="25.5">
      <c r="A43" s="1" t="str">
        <f t="shared" si="0"/>
        <v>Howden-WRVi 321/1.93 6333,4693877551 m3/h</v>
      </c>
      <c r="C43" s="39" t="s">
        <v>86</v>
      </c>
      <c r="D43" s="1" t="s">
        <v>16</v>
      </c>
      <c r="E43" s="14">
        <f t="shared" si="9"/>
        <v>3738.2692308747182</v>
      </c>
      <c r="F43" s="15">
        <v>5260</v>
      </c>
      <c r="G43" s="15">
        <f t="shared" si="10"/>
        <v>6351.3605442176868</v>
      </c>
      <c r="I43" s="20">
        <v>0.79</v>
      </c>
      <c r="J43" s="15">
        <f t="shared" si="11"/>
        <v>6333.4693877551017</v>
      </c>
      <c r="K43" s="18">
        <f t="shared" si="12"/>
        <v>275.29460060211125</v>
      </c>
      <c r="L43" s="23">
        <f t="shared" si="13"/>
        <v>552.30610894216454</v>
      </c>
      <c r="N43" s="18">
        <f t="shared" si="14"/>
        <v>1461.03405559167</v>
      </c>
      <c r="O43" s="23">
        <f t="shared" si="15"/>
        <v>2579.7299137459086</v>
      </c>
    </row>
    <row r="44" spans="1:19" ht="25.5">
      <c r="A44" s="1" t="str">
        <f t="shared" si="0"/>
        <v>Howden-WRV 321/2.20 7688,0612244898 m3/h</v>
      </c>
      <c r="C44" s="39" t="s">
        <v>86</v>
      </c>
      <c r="D44" s="1" t="s">
        <v>17</v>
      </c>
      <c r="E44" s="14">
        <f t="shared" si="9"/>
        <v>4537.8039998355662</v>
      </c>
      <c r="F44" s="15">
        <v>6385</v>
      </c>
      <c r="G44" s="15">
        <f t="shared" si="10"/>
        <v>7709.7789115646256</v>
      </c>
      <c r="I44" s="20">
        <v>0.79</v>
      </c>
      <c r="J44" s="15">
        <f t="shared" si="11"/>
        <v>7688.0612244897957</v>
      </c>
      <c r="K44" s="18">
        <f t="shared" si="12"/>
        <v>334.1741492099772</v>
      </c>
      <c r="L44" s="23">
        <f t="shared" si="13"/>
        <v>670.43241551249434</v>
      </c>
      <c r="N44" s="18">
        <f t="shared" si="14"/>
        <v>1773.5175750860863</v>
      </c>
      <c r="O44" s="23">
        <f t="shared" si="15"/>
        <v>3131.4782317999284</v>
      </c>
    </row>
    <row r="45" spans="1:19" ht="25.5">
      <c r="A45" s="1" t="str">
        <f t="shared" si="0"/>
        <v>Howden-WRVi 365/165 8152,83673469388 m3/h</v>
      </c>
      <c r="C45" s="39" t="s">
        <v>86</v>
      </c>
      <c r="D45" s="1" t="s">
        <v>18</v>
      </c>
      <c r="E45" s="14">
        <f t="shared" si="9"/>
        <v>4812.1332627856882</v>
      </c>
      <c r="F45" s="15">
        <v>6771</v>
      </c>
      <c r="G45" s="15">
        <f t="shared" si="10"/>
        <v>8175.867346938775</v>
      </c>
      <c r="I45" s="20">
        <v>0.79</v>
      </c>
      <c r="J45" s="15">
        <f t="shared" si="11"/>
        <v>8152.8367346938776</v>
      </c>
      <c r="K45" s="18">
        <f t="shared" si="12"/>
        <v>354.37637655454279</v>
      </c>
      <c r="L45" s="23">
        <f t="shared" si="13"/>
        <v>710.96286381129187</v>
      </c>
      <c r="N45" s="18">
        <f t="shared" si="14"/>
        <v>1880.7341426637258</v>
      </c>
      <c r="O45" s="23">
        <f t="shared" si="15"/>
        <v>3320.7892102611304</v>
      </c>
    </row>
    <row r="46" spans="1:19" ht="25.5">
      <c r="A46" s="1" t="str">
        <f t="shared" si="0"/>
        <v>Howden-WRVi 365/193 9536,32653061224 m3/h</v>
      </c>
      <c r="C46" s="39" t="s">
        <v>86</v>
      </c>
      <c r="D46" s="1" t="s">
        <v>19</v>
      </c>
      <c r="E46" s="14">
        <f t="shared" si="9"/>
        <v>5628.7247734843677</v>
      </c>
      <c r="F46" s="15">
        <v>7920</v>
      </c>
      <c r="G46" s="15">
        <f t="shared" si="10"/>
        <v>9563.2653061224482</v>
      </c>
      <c r="I46" s="20">
        <v>0.79</v>
      </c>
      <c r="J46" s="15">
        <f t="shared" si="11"/>
        <v>9536.3265306122448</v>
      </c>
      <c r="K46" s="18">
        <f t="shared" si="12"/>
        <v>414.51202219937664</v>
      </c>
      <c r="L46" s="23">
        <f t="shared" si="13"/>
        <v>831.60919825512224</v>
      </c>
      <c r="N46" s="18">
        <f t="shared" si="14"/>
        <v>2199.8839772406895</v>
      </c>
      <c r="O46" s="23">
        <f t="shared" si="15"/>
        <v>3884.3081591003024</v>
      </c>
    </row>
    <row r="47" spans="1:19" ht="25.5">
      <c r="A47" s="1" t="str">
        <f t="shared" si="0"/>
        <v>Howden-WRV 510/1.32** 9223,26530612245 m3/h</v>
      </c>
      <c r="C47" s="39" t="s">
        <v>86</v>
      </c>
      <c r="D47" s="26" t="s">
        <v>89</v>
      </c>
      <c r="E47" s="14">
        <f t="shared" si="9"/>
        <v>5443.9434046578599</v>
      </c>
      <c r="F47" s="15">
        <v>7660</v>
      </c>
      <c r="G47" s="15">
        <f t="shared" si="10"/>
        <v>9249.3197278911557</v>
      </c>
      <c r="I47" s="20">
        <v>0.79</v>
      </c>
      <c r="J47" s="15">
        <f t="shared" si="11"/>
        <v>9223.2653061224482</v>
      </c>
      <c r="K47" s="18">
        <f t="shared" si="12"/>
        <v>400.90430429889199</v>
      </c>
      <c r="L47" s="23">
        <f t="shared" si="13"/>
        <v>804.30889629220144</v>
      </c>
      <c r="N47" s="18">
        <f t="shared" si="14"/>
        <v>2127.6655638464244</v>
      </c>
      <c r="O47" s="23">
        <f t="shared" si="15"/>
        <v>3756.7929922611515</v>
      </c>
      <c r="P47" s="25" t="s">
        <v>24</v>
      </c>
    </row>
    <row r="48" spans="1:19" ht="25.5">
      <c r="A48" s="1" t="str">
        <f t="shared" si="0"/>
        <v>Howden-WRV 510/1.65** 11529,0816326531 m3/h</v>
      </c>
      <c r="C48" s="39" t="s">
        <v>86</v>
      </c>
      <c r="D48" s="26" t="s">
        <v>87</v>
      </c>
      <c r="E48" s="14">
        <f t="shared" si="9"/>
        <v>6804.929255822326</v>
      </c>
      <c r="F48" s="15">
        <v>9575</v>
      </c>
      <c r="G48" s="15">
        <f t="shared" si="10"/>
        <v>11561.649659863944</v>
      </c>
      <c r="I48" s="20">
        <v>0.79</v>
      </c>
      <c r="J48" s="15">
        <f t="shared" si="11"/>
        <v>11529.081632653062</v>
      </c>
      <c r="K48" s="18">
        <f t="shared" si="12"/>
        <v>501.13038037361514</v>
      </c>
      <c r="L48" s="23">
        <f t="shared" si="13"/>
        <v>1005.3861203652521</v>
      </c>
      <c r="N48" s="18">
        <f t="shared" si="14"/>
        <v>2659.5819548080308</v>
      </c>
      <c r="O48" s="23">
        <f t="shared" si="15"/>
        <v>4695.9912403264389</v>
      </c>
      <c r="P48" s="25" t="s">
        <v>24</v>
      </c>
    </row>
    <row r="49" spans="1:16" ht="25.5">
      <c r="A49" s="1" t="str">
        <f t="shared" si="0"/>
        <v>Howden-WRV 510/1.93** 12654,8979591837 m3/h</v>
      </c>
      <c r="C49" s="39" t="s">
        <v>86</v>
      </c>
      <c r="D49" s="26" t="s">
        <v>88</v>
      </c>
      <c r="E49" s="14">
        <f t="shared" si="9"/>
        <v>7469.4314860253407</v>
      </c>
      <c r="F49" s="15">
        <v>10510</v>
      </c>
      <c r="G49" s="15">
        <f t="shared" si="10"/>
        <v>12690.646258503401</v>
      </c>
      <c r="I49" s="20">
        <v>0.79</v>
      </c>
      <c r="J49" s="15">
        <f t="shared" si="11"/>
        <v>12654.897959183674</v>
      </c>
      <c r="K49" s="18">
        <f t="shared" si="12"/>
        <v>550.06582743881927</v>
      </c>
      <c r="L49" s="23">
        <f t="shared" si="13"/>
        <v>1103.5622062703708</v>
      </c>
      <c r="N49" s="18">
        <f t="shared" si="14"/>
        <v>2919.2904798989457</v>
      </c>
      <c r="O49" s="23">
        <f t="shared" si="15"/>
        <v>5154.5553979980032</v>
      </c>
      <c r="P49" s="25" t="s">
        <v>24</v>
      </c>
    </row>
    <row r="50" spans="1:16" ht="25.5">
      <c r="A50" s="1" t="str">
        <f t="shared" si="0"/>
        <v>Howden-XRV 127-R1 352,795918367347 m3/h</v>
      </c>
      <c r="C50" s="39" t="s">
        <v>86</v>
      </c>
      <c r="D50" s="1" t="s">
        <v>26</v>
      </c>
      <c r="E50" s="14">
        <f t="shared" ref="E50:E98" si="16">F50/1.699011*$E$13/$F$13</f>
        <v>208.23438871602522</v>
      </c>
      <c r="F50" s="15">
        <v>293</v>
      </c>
      <c r="G50" s="15">
        <f t="shared" si="10"/>
        <v>353.79251700680271</v>
      </c>
      <c r="I50" s="20">
        <v>0.79</v>
      </c>
      <c r="J50" s="15">
        <f t="shared" ref="J50" si="17">F50*$J$13/$F$13</f>
        <v>352.79591836734693</v>
      </c>
      <c r="K50" s="18">
        <f t="shared" ref="K50:K98" si="18">J50*$K$7*1000/3600</f>
        <v>15.33485132631532</v>
      </c>
      <c r="L50" s="23">
        <f t="shared" ref="L50:L98" si="19">K50*8.314*$K$6/4*LN($K$8/$K$5)/$K$9/1000</f>
        <v>30.76534028898369</v>
      </c>
      <c r="N50" s="18">
        <f t="shared" ref="N50" si="20">J50*$N$7*1000/3600</f>
        <v>81.384596632767924</v>
      </c>
      <c r="O50" s="23">
        <f t="shared" ref="O50:O98" si="21">N50*8.314*$N$6/4*LN($N$8/$N$5)/$N$9/1000</f>
        <v>143.69978416873593</v>
      </c>
    </row>
    <row r="51" spans="1:16" ht="25.5">
      <c r="A51" s="1" t="str">
        <f t="shared" si="0"/>
        <v>Howden-XRV 127-R3 478,020408163265 m3/h</v>
      </c>
      <c r="C51" s="39" t="s">
        <v>86</v>
      </c>
      <c r="D51" s="1" t="s">
        <v>27</v>
      </c>
      <c r="E51" s="14">
        <f t="shared" si="16"/>
        <v>282.146936246628</v>
      </c>
      <c r="F51" s="15">
        <v>397</v>
      </c>
      <c r="G51" s="15">
        <f t="shared" si="10"/>
        <v>479.3707482993197</v>
      </c>
      <c r="I51" s="20">
        <v>0.79</v>
      </c>
      <c r="J51" s="15">
        <f t="shared" ref="J51:J53" si="22">F51*$J$13/$F$13</f>
        <v>478.0204081632653</v>
      </c>
      <c r="K51" s="18">
        <f t="shared" si="18"/>
        <v>20.777938486509157</v>
      </c>
      <c r="L51" s="23">
        <f t="shared" si="19"/>
        <v>41.685461074151966</v>
      </c>
      <c r="N51" s="18">
        <f t="shared" ref="N51:N53" si="23">J51*$N$7*1000/3600</f>
        <v>110.27196199047395</v>
      </c>
      <c r="O51" s="23">
        <f t="shared" si="21"/>
        <v>194.70585090439647</v>
      </c>
    </row>
    <row r="52" spans="1:16" ht="25.5">
      <c r="A52" s="1" t="str">
        <f t="shared" si="0"/>
        <v>Howden-XRV 127-R4 588,795918367347 m3/h</v>
      </c>
      <c r="C52" s="39" t="s">
        <v>86</v>
      </c>
      <c r="D52" s="1" t="s">
        <v>28</v>
      </c>
      <c r="E52" s="14">
        <f t="shared" si="16"/>
        <v>347.53111290831515</v>
      </c>
      <c r="F52" s="15">
        <v>489</v>
      </c>
      <c r="G52" s="15">
        <f t="shared" si="10"/>
        <v>590.45918367346928</v>
      </c>
      <c r="I52" s="20">
        <v>0.79</v>
      </c>
      <c r="J52" s="15">
        <f t="shared" si="22"/>
        <v>588.79591836734699</v>
      </c>
      <c r="K52" s="18">
        <f t="shared" si="18"/>
        <v>25.59297712821909</v>
      </c>
      <c r="L52" s="23">
        <f t="shared" si="19"/>
        <v>51.345567922570041</v>
      </c>
      <c r="N52" s="18">
        <f t="shared" si="23"/>
        <v>135.82616980690622</v>
      </c>
      <c r="O52" s="23">
        <f t="shared" si="21"/>
        <v>239.82660224748082</v>
      </c>
    </row>
    <row r="53" spans="1:16" ht="25.5">
      <c r="A53" s="1" t="str">
        <f t="shared" si="0"/>
        <v>Howden-XRV 127-R5 693,551020408163 m3/h</v>
      </c>
      <c r="C53" s="39" t="s">
        <v>86</v>
      </c>
      <c r="D53" s="1" t="s">
        <v>29</v>
      </c>
      <c r="E53" s="14">
        <f t="shared" si="16"/>
        <v>409.36180170795399</v>
      </c>
      <c r="F53" s="15">
        <v>576</v>
      </c>
      <c r="G53" s="15">
        <f t="shared" si="10"/>
        <v>695.51020408163254</v>
      </c>
      <c r="I53" s="20">
        <v>0.79</v>
      </c>
      <c r="J53" s="15">
        <f t="shared" si="22"/>
        <v>693.55102040816325</v>
      </c>
      <c r="K53" s="18">
        <f t="shared" si="18"/>
        <v>30.146328887227387</v>
      </c>
      <c r="L53" s="23">
        <f t="shared" si="19"/>
        <v>60.480668964008885</v>
      </c>
      <c r="N53" s="18">
        <f t="shared" si="23"/>
        <v>159.99156198114105</v>
      </c>
      <c r="O53" s="23">
        <f t="shared" si="21"/>
        <v>282.49513884365831</v>
      </c>
    </row>
    <row r="54" spans="1:16" ht="25.5">
      <c r="A54" s="1" t="str">
        <f t="shared" si="0"/>
        <v>Howden-XRV 163/1.65 714,020408163265 m3/h</v>
      </c>
      <c r="C54" s="39" t="s">
        <v>86</v>
      </c>
      <c r="D54" s="1" t="s">
        <v>31</v>
      </c>
      <c r="E54" s="14">
        <f t="shared" si="16"/>
        <v>421.4436604389179</v>
      </c>
      <c r="F54" s="15">
        <v>593</v>
      </c>
      <c r="G54" s="15">
        <f t="shared" si="10"/>
        <v>716.03741496598639</v>
      </c>
      <c r="I54" s="20">
        <v>0.79</v>
      </c>
      <c r="J54" s="15">
        <f t="shared" ref="J54:J59" si="24">F54*$J$13/$F$13</f>
        <v>714.0204081632653</v>
      </c>
      <c r="K54" s="18">
        <f t="shared" si="18"/>
        <v>31.03606428841292</v>
      </c>
      <c r="L54" s="23">
        <f t="shared" si="19"/>
        <v>62.26568870773832</v>
      </c>
      <c r="N54" s="18">
        <f t="shared" ref="N54:N59" si="25">J54*$N$7*1000/3600</f>
        <v>164.71353516461224</v>
      </c>
      <c r="O54" s="23">
        <f t="shared" si="21"/>
        <v>290.83266898314139</v>
      </c>
    </row>
    <row r="55" spans="1:16" ht="25.5">
      <c r="A55" s="1" t="str">
        <f t="shared" si="0"/>
        <v>Howden-XRV 163/1.93 854,897959183673 m3/h</v>
      </c>
      <c r="C55" s="39" t="s">
        <v>86</v>
      </c>
      <c r="D55" s="1" t="s">
        <v>32</v>
      </c>
      <c r="E55" s="14">
        <f t="shared" si="16"/>
        <v>504.59527641084611</v>
      </c>
      <c r="F55" s="15">
        <v>710</v>
      </c>
      <c r="G55" s="15">
        <f t="shared" si="10"/>
        <v>857.31292517006796</v>
      </c>
      <c r="I55" s="20">
        <v>0.79</v>
      </c>
      <c r="J55" s="15">
        <f t="shared" si="24"/>
        <v>854.89795918367349</v>
      </c>
      <c r="K55" s="18">
        <f t="shared" si="18"/>
        <v>37.159537343630987</v>
      </c>
      <c r="L55" s="23">
        <f t="shared" si="19"/>
        <v>74.550824591052631</v>
      </c>
      <c r="N55" s="18">
        <f t="shared" si="25"/>
        <v>197.21182119203152</v>
      </c>
      <c r="O55" s="23">
        <f t="shared" si="21"/>
        <v>348.21449406075942</v>
      </c>
    </row>
    <row r="56" spans="1:16" ht="25.5">
      <c r="A56" s="1" t="str">
        <f t="shared" si="0"/>
        <v>Howden-XRV 204/1.10 977,714285714286 m3/h</v>
      </c>
      <c r="C56" s="39" t="s">
        <v>86</v>
      </c>
      <c r="D56" s="1" t="s">
        <v>33</v>
      </c>
      <c r="E56" s="14">
        <f t="shared" si="16"/>
        <v>577.08642879662955</v>
      </c>
      <c r="F56" s="15">
        <v>812</v>
      </c>
      <c r="G56" s="15">
        <f t="shared" si="10"/>
        <v>980.47619047619037</v>
      </c>
      <c r="I56" s="20">
        <v>0.79</v>
      </c>
      <c r="J56" s="15">
        <f t="shared" si="24"/>
        <v>977.71428571428567</v>
      </c>
      <c r="K56" s="18">
        <f t="shared" si="18"/>
        <v>42.497949750744162</v>
      </c>
      <c r="L56" s="23">
        <f t="shared" si="19"/>
        <v>85.260943053429202</v>
      </c>
      <c r="N56" s="18">
        <f t="shared" si="25"/>
        <v>225.54366029285856</v>
      </c>
      <c r="O56" s="23">
        <f t="shared" si="21"/>
        <v>398.23967489765732</v>
      </c>
    </row>
    <row r="57" spans="1:16" ht="25.5">
      <c r="A57" s="1" t="str">
        <f t="shared" si="0"/>
        <v>Howden-XRV 204/1.45 1288,36734693878 m3/h</v>
      </c>
      <c r="C57" s="39" t="s">
        <v>86</v>
      </c>
      <c r="D57" s="1" t="s">
        <v>34</v>
      </c>
      <c r="E57" s="14">
        <f t="shared" si="16"/>
        <v>760.44640247831728</v>
      </c>
      <c r="F57" s="15">
        <v>1070</v>
      </c>
      <c r="G57" s="15">
        <f t="shared" si="10"/>
        <v>1292.0068027210884</v>
      </c>
      <c r="I57" s="20">
        <v>0.79</v>
      </c>
      <c r="J57" s="15">
        <f t="shared" si="24"/>
        <v>1288.3673469387754</v>
      </c>
      <c r="K57" s="18">
        <f t="shared" si="18"/>
        <v>56.000992898148098</v>
      </c>
      <c r="L57" s="23">
        <f t="shared" si="19"/>
        <v>112.35124269355819</v>
      </c>
      <c r="N57" s="18">
        <f t="shared" si="25"/>
        <v>297.20654743024465</v>
      </c>
      <c r="O57" s="23">
        <f t="shared" si="21"/>
        <v>524.77395583804605</v>
      </c>
    </row>
    <row r="58" spans="1:16" ht="25.5">
      <c r="A58" s="1" t="str">
        <f t="shared" si="0"/>
        <v>Howden-XRV 204/1.65 1467,77551020408 m3/h</v>
      </c>
      <c r="C58" s="39" t="s">
        <v>86</v>
      </c>
      <c r="D58" s="1" t="s">
        <v>35</v>
      </c>
      <c r="E58" s="14">
        <f t="shared" si="16"/>
        <v>866.34034076735418</v>
      </c>
      <c r="F58" s="15">
        <v>1219</v>
      </c>
      <c r="G58" s="15">
        <f t="shared" si="10"/>
        <v>1471.9217687074829</v>
      </c>
      <c r="I58" s="20">
        <v>0.79</v>
      </c>
      <c r="J58" s="15">
        <f t="shared" si="24"/>
        <v>1467.7755102040817</v>
      </c>
      <c r="K58" s="18">
        <f t="shared" si="18"/>
        <v>63.799262002656583</v>
      </c>
      <c r="L58" s="23">
        <f t="shared" si="19"/>
        <v>127.99641574153968</v>
      </c>
      <c r="N58" s="18">
        <f t="shared" si="25"/>
        <v>338.59325356772734</v>
      </c>
      <c r="O58" s="23">
        <f t="shared" si="21"/>
        <v>597.84995529586729</v>
      </c>
    </row>
    <row r="59" spans="1:16" ht="25.5">
      <c r="A59" s="1" t="str">
        <f t="shared" si="0"/>
        <v>Howden-XRV 204/1.93 1623,10204081633 m3/h</v>
      </c>
      <c r="C59" s="39" t="s">
        <v>86</v>
      </c>
      <c r="D59" s="1" t="s">
        <v>36</v>
      </c>
      <c r="E59" s="14">
        <f t="shared" si="16"/>
        <v>958.02032760819804</v>
      </c>
      <c r="F59" s="15">
        <v>1348</v>
      </c>
      <c r="G59" s="15">
        <f t="shared" si="10"/>
        <v>1627.6870748299318</v>
      </c>
      <c r="I59" s="20">
        <v>0.79</v>
      </c>
      <c r="J59" s="15">
        <f t="shared" si="24"/>
        <v>1623.1020408163265</v>
      </c>
      <c r="K59" s="18">
        <f t="shared" si="18"/>
        <v>70.55078357635854</v>
      </c>
      <c r="L59" s="23">
        <f t="shared" si="19"/>
        <v>141.54156556160413</v>
      </c>
      <c r="N59" s="18">
        <f t="shared" si="25"/>
        <v>374.42469713642043</v>
      </c>
      <c r="O59" s="23">
        <f t="shared" si="21"/>
        <v>661.11709576606177</v>
      </c>
    </row>
    <row r="60" spans="1:16">
      <c r="B60" s="12">
        <v>2940</v>
      </c>
      <c r="C60" s="40" t="s">
        <v>92</v>
      </c>
      <c r="D60" s="1" t="s">
        <v>93</v>
      </c>
      <c r="E60" s="14">
        <f t="shared" si="16"/>
        <v>572.11154578976209</v>
      </c>
      <c r="F60" s="15">
        <v>805</v>
      </c>
      <c r="G60" s="15">
        <f>F60*$G$13/$F$13</f>
        <v>972.02380952380952</v>
      </c>
      <c r="I60" s="20">
        <v>0.79</v>
      </c>
      <c r="J60" s="15">
        <f t="shared" ref="J60" si="26">F60*$J$13/$F$13</f>
        <v>969.28571428571433</v>
      </c>
      <c r="K60" s="18">
        <f t="shared" si="18"/>
        <v>42.1315881149619</v>
      </c>
      <c r="L60" s="23">
        <f t="shared" si="19"/>
        <v>84.525934923658284</v>
      </c>
      <c r="N60" s="18">
        <f t="shared" ref="N60" si="27">J60*$N$7*1000/3600</f>
        <v>223.59931839378223</v>
      </c>
      <c r="O60" s="23">
        <f t="shared" si="21"/>
        <v>394.80657425198785</v>
      </c>
      <c r="P60" s="17" t="s">
        <v>91</v>
      </c>
    </row>
    <row r="61" spans="1:16">
      <c r="C61" s="40" t="s">
        <v>92</v>
      </c>
      <c r="D61" s="1" t="s">
        <v>94</v>
      </c>
      <c r="E61" s="14">
        <f t="shared" si="16"/>
        <v>739.12547530602808</v>
      </c>
      <c r="F61" s="15">
        <v>1040</v>
      </c>
      <c r="G61" s="15">
        <f t="shared" ref="G61:G98" si="28">F61*$G$13/$F$13</f>
        <v>1255.7823129251701</v>
      </c>
      <c r="I61" s="20">
        <v>0.79</v>
      </c>
      <c r="J61" s="15">
        <f t="shared" ref="J61:J73" si="29">F61*$J$13/$F$13</f>
        <v>1252.2448979591836</v>
      </c>
      <c r="K61" s="18">
        <f t="shared" si="18"/>
        <v>54.430871601938343</v>
      </c>
      <c r="L61" s="23">
        <f t="shared" si="19"/>
        <v>109.20120785168271</v>
      </c>
      <c r="N61" s="18">
        <f t="shared" ref="N61:N73" si="30">J61*$N$7*1000/3600</f>
        <v>288.87365357706022</v>
      </c>
      <c r="O61" s="23">
        <f t="shared" si="21"/>
        <v>510.06066735660545</v>
      </c>
      <c r="P61" s="17" t="s">
        <v>91</v>
      </c>
    </row>
    <row r="62" spans="1:16">
      <c r="C62" s="40" t="s">
        <v>92</v>
      </c>
      <c r="D62" s="1" t="s">
        <v>95</v>
      </c>
      <c r="E62" s="14">
        <f t="shared" si="16"/>
        <v>916.79986840843867</v>
      </c>
      <c r="F62" s="15">
        <v>1290</v>
      </c>
      <c r="G62" s="15">
        <f t="shared" si="28"/>
        <v>1557.6530612244899</v>
      </c>
      <c r="I62" s="20">
        <v>0.79</v>
      </c>
      <c r="J62" s="15">
        <f t="shared" si="29"/>
        <v>1553.2653061224489</v>
      </c>
      <c r="K62" s="18">
        <f t="shared" si="18"/>
        <v>67.515215737019673</v>
      </c>
      <c r="L62" s="23">
        <f t="shared" si="19"/>
        <v>135.45149820064492</v>
      </c>
      <c r="N62" s="18">
        <f t="shared" si="30"/>
        <v>358.31443568693055</v>
      </c>
      <c r="O62" s="23">
        <f t="shared" si="21"/>
        <v>632.6714047019434</v>
      </c>
      <c r="P62" s="17" t="s">
        <v>91</v>
      </c>
    </row>
    <row r="63" spans="1:16">
      <c r="C63" s="40" t="s">
        <v>92</v>
      </c>
      <c r="D63" s="1" t="s">
        <v>96</v>
      </c>
      <c r="E63" s="14">
        <f t="shared" si="16"/>
        <v>1037.6184557180779</v>
      </c>
      <c r="F63" s="15">
        <v>1460</v>
      </c>
      <c r="G63" s="15">
        <f t="shared" si="28"/>
        <v>1762.9251700680272</v>
      </c>
      <c r="I63" s="20">
        <v>0.79</v>
      </c>
      <c r="J63" s="15">
        <f t="shared" si="29"/>
        <v>1757.9591836734694</v>
      </c>
      <c r="K63" s="18">
        <f t="shared" si="18"/>
        <v>76.412569748874986</v>
      </c>
      <c r="L63" s="23">
        <f t="shared" si="19"/>
        <v>153.30169563793922</v>
      </c>
      <c r="N63" s="18">
        <f t="shared" si="30"/>
        <v>405.53416752164225</v>
      </c>
      <c r="O63" s="23">
        <f t="shared" si="21"/>
        <v>716.04670609677294</v>
      </c>
      <c r="P63" s="17" t="s">
        <v>91</v>
      </c>
    </row>
    <row r="64" spans="1:16">
      <c r="C64" s="40" t="s">
        <v>92</v>
      </c>
      <c r="D64" s="1" t="s">
        <v>97</v>
      </c>
      <c r="E64" s="14">
        <f t="shared" si="16"/>
        <v>1236.6137759927776</v>
      </c>
      <c r="F64" s="15">
        <v>1740</v>
      </c>
      <c r="G64" s="15">
        <f t="shared" si="28"/>
        <v>2101.0204081632655</v>
      </c>
      <c r="I64" s="20">
        <v>0.79</v>
      </c>
      <c r="J64" s="15">
        <f t="shared" si="29"/>
        <v>2095.1020408163267</v>
      </c>
      <c r="K64" s="18">
        <f t="shared" si="18"/>
        <v>91.067035180166087</v>
      </c>
      <c r="L64" s="23">
        <f t="shared" si="19"/>
        <v>182.70202082877691</v>
      </c>
      <c r="N64" s="18">
        <f t="shared" si="30"/>
        <v>483.307843484697</v>
      </c>
      <c r="O64" s="23">
        <f t="shared" si="21"/>
        <v>853.37073192355138</v>
      </c>
      <c r="P64" s="17" t="s">
        <v>91</v>
      </c>
    </row>
    <row r="65" spans="2:16">
      <c r="C65" s="40" t="s">
        <v>92</v>
      </c>
      <c r="D65" s="1" t="s">
        <v>98</v>
      </c>
      <c r="E65" s="14">
        <f t="shared" si="16"/>
        <v>1414.2881690951883</v>
      </c>
      <c r="F65" s="15">
        <v>1990</v>
      </c>
      <c r="G65" s="15">
        <f t="shared" si="28"/>
        <v>2402.8911564625851</v>
      </c>
      <c r="I65" s="20">
        <v>0.79</v>
      </c>
      <c r="J65" s="15">
        <f t="shared" si="29"/>
        <v>2396.1224489795918</v>
      </c>
      <c r="K65" s="18">
        <f t="shared" si="18"/>
        <v>104.15137931524742</v>
      </c>
      <c r="L65" s="23">
        <f t="shared" si="19"/>
        <v>208.95231117773912</v>
      </c>
      <c r="N65" s="18">
        <f t="shared" si="30"/>
        <v>552.74862559456722</v>
      </c>
      <c r="O65" s="23">
        <f t="shared" si="21"/>
        <v>975.98146926888933</v>
      </c>
      <c r="P65" s="17" t="s">
        <v>91</v>
      </c>
    </row>
    <row r="66" spans="2:16">
      <c r="C66" s="40" t="s">
        <v>92</v>
      </c>
      <c r="D66" s="1" t="s">
        <v>99</v>
      </c>
      <c r="E66" s="14">
        <f t="shared" si="16"/>
        <v>1698.5671980590453</v>
      </c>
      <c r="F66" s="15">
        <v>2390</v>
      </c>
      <c r="G66" s="15">
        <f t="shared" si="28"/>
        <v>2885.8843537414964</v>
      </c>
      <c r="I66" s="20">
        <v>0.79</v>
      </c>
      <c r="J66" s="15">
        <f t="shared" si="29"/>
        <v>2877.7551020408164</v>
      </c>
      <c r="K66" s="18">
        <f t="shared" si="18"/>
        <v>125.08632993137753</v>
      </c>
      <c r="L66" s="23">
        <f t="shared" si="19"/>
        <v>250.95277573607856</v>
      </c>
      <c r="N66" s="18">
        <f t="shared" si="30"/>
        <v>663.85387697035969</v>
      </c>
      <c r="O66" s="23">
        <f t="shared" si="21"/>
        <v>1172.1586490214299</v>
      </c>
      <c r="P66" s="17" t="s">
        <v>91</v>
      </c>
    </row>
    <row r="67" spans="2:16" collapsed="1">
      <c r="C67" s="40" t="s">
        <v>92</v>
      </c>
      <c r="D67" s="1" t="s">
        <v>100</v>
      </c>
      <c r="E67" s="14">
        <f t="shared" si="16"/>
        <v>1952.9969289816972</v>
      </c>
      <c r="F67" s="15">
        <v>2748</v>
      </c>
      <c r="G67" s="15">
        <f t="shared" si="28"/>
        <v>3318.1632653061224</v>
      </c>
      <c r="I67" s="20">
        <v>0.79</v>
      </c>
      <c r="J67" s="15">
        <f t="shared" si="29"/>
        <v>3308.8163265306121</v>
      </c>
      <c r="K67" s="18">
        <f t="shared" si="18"/>
        <v>143.82311073281397</v>
      </c>
      <c r="L67" s="23">
        <f t="shared" si="19"/>
        <v>288.54319151579239</v>
      </c>
      <c r="N67" s="18">
        <f t="shared" si="30"/>
        <v>763.29307695169382</v>
      </c>
      <c r="O67" s="23">
        <f t="shared" si="21"/>
        <v>1347.7372248999534</v>
      </c>
      <c r="P67" s="17" t="s">
        <v>91</v>
      </c>
    </row>
    <row r="68" spans="2:16">
      <c r="C68" s="40" t="s">
        <v>92</v>
      </c>
      <c r="D68" s="1" t="s">
        <v>101</v>
      </c>
      <c r="E68" s="14">
        <f t="shared" si="16"/>
        <v>2309.7671103313378</v>
      </c>
      <c r="F68" s="15">
        <v>3250</v>
      </c>
      <c r="G68" s="15">
        <f t="shared" si="28"/>
        <v>3924.3197278911566</v>
      </c>
      <c r="I68" s="20">
        <v>0.79</v>
      </c>
      <c r="J68" s="15">
        <f t="shared" si="29"/>
        <v>3913.2653061224491</v>
      </c>
      <c r="K68" s="18">
        <f t="shared" si="18"/>
        <v>170.09647375605735</v>
      </c>
      <c r="L68" s="23">
        <f t="shared" si="19"/>
        <v>341.25377453650862</v>
      </c>
      <c r="N68" s="18">
        <f t="shared" si="30"/>
        <v>902.73016742831339</v>
      </c>
      <c r="O68" s="23">
        <f t="shared" si="21"/>
        <v>1593.9395854893921</v>
      </c>
      <c r="P68" s="17" t="s">
        <v>91</v>
      </c>
    </row>
    <row r="69" spans="2:16">
      <c r="C69" s="40" t="s">
        <v>92</v>
      </c>
      <c r="D69" s="1" t="s">
        <v>102</v>
      </c>
      <c r="E69" s="14">
        <f t="shared" si="16"/>
        <v>2949.3949255000152</v>
      </c>
      <c r="F69" s="15">
        <v>4150</v>
      </c>
      <c r="G69" s="15">
        <f t="shared" si="28"/>
        <v>5011.0544217687075</v>
      </c>
      <c r="I69" s="20">
        <v>0.79</v>
      </c>
      <c r="J69" s="15">
        <f t="shared" si="29"/>
        <v>4996.9387755102043</v>
      </c>
      <c r="K69" s="18">
        <f t="shared" si="18"/>
        <v>217.20011264235012</v>
      </c>
      <c r="L69" s="23">
        <f t="shared" si="19"/>
        <v>435.75481979277242</v>
      </c>
      <c r="N69" s="18">
        <f t="shared" si="30"/>
        <v>1152.7169830238463</v>
      </c>
      <c r="O69" s="23">
        <f t="shared" si="21"/>
        <v>2035.3382399326083</v>
      </c>
      <c r="P69" s="17" t="s">
        <v>91</v>
      </c>
    </row>
    <row r="70" spans="2:16">
      <c r="C70" s="40" t="s">
        <v>92</v>
      </c>
      <c r="D70" s="1" t="s">
        <v>103</v>
      </c>
      <c r="E70" s="14">
        <f t="shared" si="16"/>
        <v>3482.4181048072473</v>
      </c>
      <c r="F70" s="15">
        <v>4900</v>
      </c>
      <c r="G70" s="15">
        <f t="shared" si="28"/>
        <v>5916.666666666667</v>
      </c>
      <c r="I70" s="20">
        <v>0.79</v>
      </c>
      <c r="J70" s="15">
        <f t="shared" si="29"/>
        <v>5900</v>
      </c>
      <c r="K70" s="18">
        <f t="shared" si="18"/>
        <v>256.45314504759415</v>
      </c>
      <c r="L70" s="23">
        <f t="shared" si="19"/>
        <v>514.505690839659</v>
      </c>
      <c r="N70" s="18">
        <f t="shared" si="30"/>
        <v>1361.0393293534569</v>
      </c>
      <c r="O70" s="23">
        <f t="shared" si="21"/>
        <v>2403.1704519686214</v>
      </c>
      <c r="P70" s="17" t="s">
        <v>91</v>
      </c>
    </row>
    <row r="71" spans="2:16">
      <c r="C71" s="40" t="s">
        <v>92</v>
      </c>
      <c r="D71" s="1" t="s">
        <v>104</v>
      </c>
      <c r="E71" s="14">
        <f t="shared" si="16"/>
        <v>4122.0459199759252</v>
      </c>
      <c r="F71" s="15">
        <v>5800</v>
      </c>
      <c r="G71" s="15">
        <f t="shared" si="28"/>
        <v>7003.4013605442178</v>
      </c>
      <c r="I71" s="20">
        <v>0.79</v>
      </c>
      <c r="J71" s="15">
        <f t="shared" si="29"/>
        <v>6983.6734693877552</v>
      </c>
      <c r="K71" s="18">
        <f t="shared" si="18"/>
        <v>303.55678393388695</v>
      </c>
      <c r="L71" s="23">
        <f t="shared" si="19"/>
        <v>609.00673609592297</v>
      </c>
      <c r="N71" s="18">
        <f t="shared" si="30"/>
        <v>1611.0261449489901</v>
      </c>
      <c r="O71" s="23">
        <f t="shared" si="21"/>
        <v>2844.5691064118382</v>
      </c>
      <c r="P71" s="17" t="s">
        <v>91</v>
      </c>
    </row>
    <row r="72" spans="2:16">
      <c r="C72" s="40" t="s">
        <v>92</v>
      </c>
      <c r="D72" s="1" t="s">
        <v>105</v>
      </c>
      <c r="E72" s="14">
        <f t="shared" si="16"/>
        <v>5053.0597398325572</v>
      </c>
      <c r="F72" s="15">
        <v>7110</v>
      </c>
      <c r="G72" s="15">
        <f t="shared" si="28"/>
        <v>8585.2040816326535</v>
      </c>
      <c r="I72" s="20">
        <v>0.79</v>
      </c>
      <c r="J72" s="15">
        <f t="shared" si="29"/>
        <v>8561.0204081632655</v>
      </c>
      <c r="K72" s="18">
        <f t="shared" si="18"/>
        <v>372.11874720171312</v>
      </c>
      <c r="L72" s="23">
        <f t="shared" si="19"/>
        <v>746.55825752448482</v>
      </c>
      <c r="N72" s="18">
        <f t="shared" si="30"/>
        <v>1974.89584320471</v>
      </c>
      <c r="O72" s="23">
        <f t="shared" si="21"/>
        <v>3487.0493701014084</v>
      </c>
      <c r="P72" s="17" t="s">
        <v>91</v>
      </c>
    </row>
    <row r="73" spans="2:16">
      <c r="C73" s="40" t="s">
        <v>92</v>
      </c>
      <c r="D73" s="1" t="s">
        <v>106</v>
      </c>
      <c r="E73" s="14">
        <f t="shared" si="16"/>
        <v>6083.5712198265383</v>
      </c>
      <c r="F73" s="15">
        <v>8560</v>
      </c>
      <c r="G73" s="15">
        <f t="shared" si="28"/>
        <v>10336.054421768707</v>
      </c>
      <c r="I73" s="20">
        <v>0.79</v>
      </c>
      <c r="J73" s="15">
        <f t="shared" si="29"/>
        <v>10306.938775510203</v>
      </c>
      <c r="K73" s="18">
        <f t="shared" si="18"/>
        <v>448.00794318518479</v>
      </c>
      <c r="L73" s="23">
        <f t="shared" si="19"/>
        <v>898.80994154846553</v>
      </c>
      <c r="N73" s="18">
        <f t="shared" si="30"/>
        <v>2377.6523794419572</v>
      </c>
      <c r="O73" s="23">
        <f t="shared" si="21"/>
        <v>4198.1916467043684</v>
      </c>
      <c r="P73" s="17" t="s">
        <v>91</v>
      </c>
    </row>
    <row r="74" spans="2:16">
      <c r="B74" s="12">
        <v>2950</v>
      </c>
      <c r="C74" s="50" t="s">
        <v>110</v>
      </c>
      <c r="D74" s="1" t="s">
        <v>130</v>
      </c>
      <c r="E74" s="14">
        <f t="shared" si="16"/>
        <v>592.72177538964172</v>
      </c>
      <c r="F74" s="15">
        <v>834</v>
      </c>
      <c r="G74" s="15">
        <f t="shared" si="28"/>
        <v>1007.0408163265306</v>
      </c>
      <c r="I74" s="20">
        <v>0.79</v>
      </c>
      <c r="J74" s="15">
        <f t="shared" ref="J74:J86" si="31">F74*$J$13/$F$13</f>
        <v>1004.204081632653</v>
      </c>
      <c r="K74" s="18">
        <f t="shared" si="18"/>
        <v>43.64937203463132</v>
      </c>
      <c r="L74" s="23">
        <f t="shared" si="19"/>
        <v>87.570968604137875</v>
      </c>
      <c r="N74" s="18">
        <f t="shared" ref="N74:N86" si="32">J74*$N$7*1000/3600</f>
        <v>231.65444911852714</v>
      </c>
      <c r="O74" s="23">
        <f t="shared" si="21"/>
        <v>409.02941978404698</v>
      </c>
      <c r="P74" s="17"/>
    </row>
    <row r="75" spans="2:16">
      <c r="C75" s="50" t="s">
        <v>110</v>
      </c>
      <c r="D75" s="1" t="s">
        <v>132</v>
      </c>
      <c r="E75" s="14">
        <f t="shared" si="16"/>
        <v>790.29570051952226</v>
      </c>
      <c r="F75" s="15">
        <v>1112</v>
      </c>
      <c r="G75" s="15">
        <f t="shared" si="28"/>
        <v>1342.7210884353742</v>
      </c>
      <c r="I75" s="20">
        <v>0.79</v>
      </c>
      <c r="J75" s="15">
        <f t="shared" si="31"/>
        <v>1338.9387755102041</v>
      </c>
      <c r="K75" s="18">
        <f t="shared" si="18"/>
        <v>58.199162712841762</v>
      </c>
      <c r="L75" s="23">
        <f t="shared" si="19"/>
        <v>116.76129147218381</v>
      </c>
      <c r="N75" s="18">
        <f t="shared" si="32"/>
        <v>308.87259882470289</v>
      </c>
      <c r="O75" s="23">
        <f t="shared" si="21"/>
        <v>545.37255971206287</v>
      </c>
      <c r="P75" s="17"/>
    </row>
    <row r="76" spans="2:16">
      <c r="C76" s="50" t="s">
        <v>110</v>
      </c>
      <c r="D76" s="1" t="s">
        <v>133</v>
      </c>
      <c r="E76" s="14">
        <f t="shared" si="16"/>
        <v>1043.304036297355</v>
      </c>
      <c r="F76" s="15">
        <v>1468</v>
      </c>
      <c r="G76" s="15">
        <f t="shared" si="28"/>
        <v>1772.5850340136055</v>
      </c>
      <c r="I76" s="20">
        <v>0.79</v>
      </c>
      <c r="J76" s="15">
        <f t="shared" si="31"/>
        <v>1767.591836734694</v>
      </c>
      <c r="K76" s="18">
        <f t="shared" si="18"/>
        <v>76.831268761197592</v>
      </c>
      <c r="L76" s="23">
        <f t="shared" si="19"/>
        <v>154.14170492910603</v>
      </c>
      <c r="N76" s="18">
        <f t="shared" si="32"/>
        <v>407.7562725491581</v>
      </c>
      <c r="O76" s="23">
        <f t="shared" si="21"/>
        <v>719.97024969182371</v>
      </c>
      <c r="P76" s="17"/>
    </row>
    <row r="77" spans="2:16">
      <c r="C77" s="50" t="s">
        <v>110</v>
      </c>
      <c r="D77" s="1" t="s">
        <v>134</v>
      </c>
      <c r="E77" s="14">
        <f t="shared" si="16"/>
        <v>1313.3691138130191</v>
      </c>
      <c r="F77" s="15">
        <v>1848</v>
      </c>
      <c r="G77" s="15">
        <f t="shared" si="28"/>
        <v>2231.4285714285716</v>
      </c>
      <c r="I77" s="20">
        <v>0.79</v>
      </c>
      <c r="J77" s="15">
        <f t="shared" si="31"/>
        <v>2225.1428571428573</v>
      </c>
      <c r="K77" s="18">
        <f t="shared" si="18"/>
        <v>96.71947184652123</v>
      </c>
      <c r="L77" s="23">
        <f t="shared" si="19"/>
        <v>194.04214625952858</v>
      </c>
      <c r="N77" s="18">
        <f t="shared" si="32"/>
        <v>513.30626135616103</v>
      </c>
      <c r="O77" s="23">
        <f t="shared" si="21"/>
        <v>906.33857045673733</v>
      </c>
      <c r="P77" s="17"/>
    </row>
    <row r="78" spans="2:16">
      <c r="C78" s="50" t="s">
        <v>110</v>
      </c>
      <c r="D78" s="1" t="s">
        <v>135</v>
      </c>
      <c r="E78" s="14">
        <f t="shared" si="16"/>
        <v>1622.5225578112136</v>
      </c>
      <c r="F78" s="15">
        <v>2283</v>
      </c>
      <c r="G78" s="15">
        <f t="shared" si="28"/>
        <v>2756.6836734693879</v>
      </c>
      <c r="I78" s="20">
        <v>0.79</v>
      </c>
      <c r="J78" s="15">
        <f t="shared" si="31"/>
        <v>2748.9183673469388</v>
      </c>
      <c r="K78" s="18">
        <f t="shared" si="18"/>
        <v>119.48623064156274</v>
      </c>
      <c r="L78" s="23">
        <f t="shared" si="19"/>
        <v>239.71765146672274</v>
      </c>
      <c r="N78" s="18">
        <f t="shared" si="32"/>
        <v>634.13322222733518</v>
      </c>
      <c r="O78" s="23">
        <f t="shared" si="21"/>
        <v>1119.6812534376249</v>
      </c>
      <c r="P78" s="17"/>
    </row>
    <row r="79" spans="2:16">
      <c r="C79" s="50" t="s">
        <v>110</v>
      </c>
      <c r="D79" s="1" t="s">
        <v>136</v>
      </c>
      <c r="E79" s="14">
        <f t="shared" si="16"/>
        <v>1869.1346154373591</v>
      </c>
      <c r="F79" s="15">
        <v>2630</v>
      </c>
      <c r="G79" s="15">
        <f t="shared" si="28"/>
        <v>3175.6802721088434</v>
      </c>
      <c r="I79" s="20">
        <v>0.79</v>
      </c>
      <c r="J79" s="15">
        <f t="shared" si="31"/>
        <v>3166.7346938775509</v>
      </c>
      <c r="K79" s="18">
        <f t="shared" si="18"/>
        <v>137.64730030105562</v>
      </c>
      <c r="L79" s="23">
        <f t="shared" si="19"/>
        <v>276.15305447108227</v>
      </c>
      <c r="N79" s="18">
        <f t="shared" si="32"/>
        <v>730.51702779583502</v>
      </c>
      <c r="O79" s="23">
        <f t="shared" si="21"/>
        <v>1289.8649568729543</v>
      </c>
      <c r="P79" s="17"/>
    </row>
    <row r="80" spans="2:16" collapsed="1">
      <c r="C80" s="50" t="s">
        <v>110</v>
      </c>
      <c r="D80" s="1" t="s">
        <v>138</v>
      </c>
      <c r="E80" s="14">
        <f t="shared" si="16"/>
        <v>2353.8303598207353</v>
      </c>
      <c r="F80" s="15">
        <v>3312</v>
      </c>
      <c r="G80" s="15">
        <f t="shared" si="28"/>
        <v>3999.1836734693879</v>
      </c>
      <c r="I80" s="20">
        <v>0.79</v>
      </c>
      <c r="J80" s="15">
        <f t="shared" si="31"/>
        <v>3987.9183673469388</v>
      </c>
      <c r="K80" s="18">
        <f t="shared" si="18"/>
        <v>173.34139110155749</v>
      </c>
      <c r="L80" s="23">
        <f t="shared" si="19"/>
        <v>347.7638465430511</v>
      </c>
      <c r="N80" s="18">
        <f t="shared" si="32"/>
        <v>919.95148139156106</v>
      </c>
      <c r="O80" s="23">
        <f t="shared" si="21"/>
        <v>1624.3470483510355</v>
      </c>
      <c r="P80" s="17"/>
    </row>
    <row r="81" spans="3:16">
      <c r="C81" s="50" t="s">
        <v>110</v>
      </c>
      <c r="D81" s="1" t="s">
        <v>139</v>
      </c>
      <c r="E81" s="14">
        <f t="shared" si="16"/>
        <v>2832.1298260524245</v>
      </c>
      <c r="F81" s="15">
        <v>3985</v>
      </c>
      <c r="G81" s="15">
        <f t="shared" si="28"/>
        <v>4811.8197278911566</v>
      </c>
      <c r="I81" s="20">
        <v>0.79</v>
      </c>
      <c r="J81" s="15">
        <f t="shared" si="31"/>
        <v>4798.2653061224491</v>
      </c>
      <c r="K81" s="18">
        <f t="shared" si="18"/>
        <v>208.56444551319643</v>
      </c>
      <c r="L81" s="23">
        <f t="shared" si="19"/>
        <v>418.42962816245733</v>
      </c>
      <c r="N81" s="18">
        <f t="shared" si="32"/>
        <v>1106.8860668313318</v>
      </c>
      <c r="O81" s="23">
        <f t="shared" si="21"/>
        <v>1954.4151532846852</v>
      </c>
      <c r="P81" s="17"/>
    </row>
    <row r="82" spans="3:16">
      <c r="C82" s="50" t="s">
        <v>110</v>
      </c>
      <c r="D82" s="1" t="s">
        <v>140</v>
      </c>
      <c r="E82" s="14">
        <f t="shared" si="16"/>
        <v>3198.8497734158004</v>
      </c>
      <c r="F82" s="15">
        <v>4501</v>
      </c>
      <c r="G82" s="15">
        <f t="shared" si="28"/>
        <v>5434.8809523809523</v>
      </c>
      <c r="I82" s="20">
        <v>0.79</v>
      </c>
      <c r="J82" s="15">
        <f t="shared" si="31"/>
        <v>5419.5714285714284</v>
      </c>
      <c r="K82" s="18">
        <f t="shared" si="18"/>
        <v>235.57053180800432</v>
      </c>
      <c r="L82" s="23">
        <f t="shared" si="19"/>
        <v>472.61022744271537</v>
      </c>
      <c r="N82" s="18">
        <f t="shared" si="32"/>
        <v>1250.2118411061037</v>
      </c>
      <c r="O82" s="23">
        <f t="shared" si="21"/>
        <v>2207.4837151654619</v>
      </c>
      <c r="P82" s="17"/>
    </row>
    <row r="83" spans="3:16">
      <c r="C83" s="50" t="s">
        <v>110</v>
      </c>
      <c r="D83" s="1" t="s">
        <v>141</v>
      </c>
      <c r="E83" s="14">
        <f t="shared" si="16"/>
        <v>2928.0739983277267</v>
      </c>
      <c r="F83" s="15">
        <v>4120</v>
      </c>
      <c r="G83" s="15">
        <f t="shared" si="28"/>
        <v>4974.8299319727894</v>
      </c>
      <c r="I83" s="20">
        <v>0.79</v>
      </c>
      <c r="J83" s="15">
        <f t="shared" si="31"/>
        <v>4960.8163265306121</v>
      </c>
      <c r="K83" s="18">
        <f t="shared" si="18"/>
        <v>215.62999134614034</v>
      </c>
      <c r="L83" s="23">
        <f t="shared" si="19"/>
        <v>432.60478495089694</v>
      </c>
      <c r="N83" s="18">
        <f t="shared" si="32"/>
        <v>1144.3840891706618</v>
      </c>
      <c r="O83" s="23">
        <f t="shared" si="21"/>
        <v>2020.6249514511676</v>
      </c>
      <c r="P83" s="17"/>
    </row>
    <row r="84" spans="3:16">
      <c r="C84" s="50" t="s">
        <v>110</v>
      </c>
      <c r="D84" s="1" t="s">
        <v>142</v>
      </c>
      <c r="E84" s="14">
        <f t="shared" si="16"/>
        <v>3992.6989617973704</v>
      </c>
      <c r="F84" s="15">
        <v>5618</v>
      </c>
      <c r="G84" s="15">
        <f t="shared" si="28"/>
        <v>6783.6394557823132</v>
      </c>
      <c r="I84" s="20">
        <v>0.79</v>
      </c>
      <c r="J84" s="15">
        <f t="shared" si="31"/>
        <v>6764.5306122448983</v>
      </c>
      <c r="K84" s="18">
        <f t="shared" si="18"/>
        <v>294.0313814035477</v>
      </c>
      <c r="L84" s="23">
        <f t="shared" si="19"/>
        <v>589.89652472187834</v>
      </c>
      <c r="N84" s="18">
        <f t="shared" si="32"/>
        <v>1560.4732555730043</v>
      </c>
      <c r="O84" s="23">
        <f t="shared" si="21"/>
        <v>2755.3084896244318</v>
      </c>
      <c r="P84" s="17"/>
    </row>
    <row r="85" spans="3:16">
      <c r="C85" s="50" t="s">
        <v>110</v>
      </c>
      <c r="D85" s="1" t="s">
        <v>143</v>
      </c>
      <c r="E85" s="14">
        <f t="shared" si="16"/>
        <v>5081.4876427289437</v>
      </c>
      <c r="F85" s="15">
        <v>7150</v>
      </c>
      <c r="G85" s="15">
        <f t="shared" si="28"/>
        <v>8633.5034013605436</v>
      </c>
      <c r="I85" s="20">
        <v>0.79</v>
      </c>
      <c r="J85" s="15">
        <f t="shared" si="31"/>
        <v>8609.1836734693879</v>
      </c>
      <c r="K85" s="18">
        <f t="shared" si="18"/>
        <v>374.21224226332612</v>
      </c>
      <c r="L85" s="23">
        <f t="shared" si="19"/>
        <v>750.75830398031871</v>
      </c>
      <c r="N85" s="18">
        <f t="shared" si="32"/>
        <v>1986.0063683422893</v>
      </c>
      <c r="O85" s="23">
        <f t="shared" si="21"/>
        <v>3506.6670880766624</v>
      </c>
      <c r="P85" s="17"/>
    </row>
    <row r="86" spans="3:16">
      <c r="C86" s="50" t="s">
        <v>110</v>
      </c>
      <c r="D86" s="1" t="s">
        <v>144</v>
      </c>
      <c r="E86" s="14">
        <f t="shared" si="16"/>
        <v>6419.7311715762999</v>
      </c>
      <c r="F86" s="15">
        <v>9033</v>
      </c>
      <c r="G86" s="15">
        <f t="shared" si="28"/>
        <v>10907.193877551021</v>
      </c>
      <c r="I86" s="20">
        <v>0.79</v>
      </c>
      <c r="J86" s="15">
        <f t="shared" si="31"/>
        <v>10876.469387755102</v>
      </c>
      <c r="K86" s="18">
        <f t="shared" si="18"/>
        <v>472.76352228875868</v>
      </c>
      <c r="L86" s="23">
        <f t="shared" si="19"/>
        <v>948.47549088870176</v>
      </c>
      <c r="N86" s="18">
        <f t="shared" si="32"/>
        <v>2509.0343391938318</v>
      </c>
      <c r="O86" s="23">
        <f t="shared" si="21"/>
        <v>4430.1711617617466</v>
      </c>
      <c r="P86" s="17"/>
    </row>
    <row r="87" spans="3:16">
      <c r="C87" s="51" t="s">
        <v>158</v>
      </c>
      <c r="D87" s="1" t="s">
        <v>146</v>
      </c>
      <c r="E87" s="14">
        <f t="shared" si="16"/>
        <v>496.77760311434002</v>
      </c>
      <c r="F87" s="15">
        <v>699</v>
      </c>
      <c r="G87" s="15">
        <f t="shared" si="28"/>
        <v>844.03061224489795</v>
      </c>
      <c r="I87" s="20">
        <v>0.79</v>
      </c>
      <c r="J87" s="15">
        <f t="shared" ref="J87:J98" si="33">F87*$J$13/$F$13</f>
        <v>841.65306122448976</v>
      </c>
      <c r="K87" s="18">
        <f t="shared" si="18"/>
        <v>36.583826201687408</v>
      </c>
      <c r="L87" s="23">
        <f t="shared" si="19"/>
        <v>73.395811815698295</v>
      </c>
      <c r="N87" s="18">
        <f t="shared" ref="N87:N98" si="34">J87*$N$7*1000/3600</f>
        <v>194.1564267791972</v>
      </c>
      <c r="O87" s="23">
        <f t="shared" si="21"/>
        <v>342.81962161756456</v>
      </c>
      <c r="P87" s="17" t="s">
        <v>159</v>
      </c>
    </row>
    <row r="88" spans="3:16">
      <c r="C88" s="51" t="s">
        <v>158</v>
      </c>
      <c r="D88" s="1" t="s">
        <v>148</v>
      </c>
      <c r="E88" s="14">
        <f t="shared" si="16"/>
        <v>653.84176661687104</v>
      </c>
      <c r="F88" s="15">
        <v>920</v>
      </c>
      <c r="G88" s="15">
        <f t="shared" si="28"/>
        <v>1110.8843537414966</v>
      </c>
      <c r="I88" s="20">
        <v>0.79</v>
      </c>
      <c r="J88" s="15">
        <f t="shared" si="33"/>
        <v>1107.7551020408164</v>
      </c>
      <c r="K88" s="18">
        <f t="shared" si="18"/>
        <v>48.150386417099305</v>
      </c>
      <c r="L88" s="23">
        <f t="shared" si="19"/>
        <v>96.601068484180885</v>
      </c>
      <c r="N88" s="18">
        <f t="shared" si="34"/>
        <v>255.54207816432256</v>
      </c>
      <c r="O88" s="23">
        <f t="shared" si="21"/>
        <v>451.20751343084333</v>
      </c>
      <c r="P88" s="17" t="s">
        <v>159</v>
      </c>
    </row>
    <row r="89" spans="3:16">
      <c r="C89" s="51" t="s">
        <v>158</v>
      </c>
      <c r="D89" s="1" t="s">
        <v>147</v>
      </c>
      <c r="E89" s="14">
        <f t="shared" si="16"/>
        <v>867.76173591217321</v>
      </c>
      <c r="F89" s="15">
        <v>1221</v>
      </c>
      <c r="G89" s="15">
        <f t="shared" si="28"/>
        <v>1474.3367346938776</v>
      </c>
      <c r="I89" s="20">
        <v>0.79</v>
      </c>
      <c r="J89" s="15">
        <f t="shared" si="33"/>
        <v>1470.1836734693877</v>
      </c>
      <c r="K89" s="18">
        <f t="shared" si="18"/>
        <v>63.90393675573722</v>
      </c>
      <c r="L89" s="23">
        <f t="shared" si="19"/>
        <v>128.20641806433133</v>
      </c>
      <c r="N89" s="18">
        <f t="shared" si="34"/>
        <v>339.14877982460627</v>
      </c>
      <c r="O89" s="23">
        <f t="shared" si="21"/>
        <v>598.8308411946299</v>
      </c>
      <c r="P89" s="17" t="s">
        <v>159</v>
      </c>
    </row>
    <row r="90" spans="3:16">
      <c r="C90" s="51" t="s">
        <v>158</v>
      </c>
      <c r="D90" s="1" t="s">
        <v>155</v>
      </c>
      <c r="E90" s="14">
        <f t="shared" si="16"/>
        <v>981.47334749771608</v>
      </c>
      <c r="F90" s="15">
        <v>1381</v>
      </c>
      <c r="G90" s="15">
        <f t="shared" si="28"/>
        <v>1667.5340136054422</v>
      </c>
      <c r="I90" s="20">
        <v>0.79</v>
      </c>
      <c r="J90" s="15">
        <f t="shared" si="33"/>
        <v>1662.8367346938776</v>
      </c>
      <c r="K90" s="18">
        <f t="shared" si="18"/>
        <v>72.277917002189284</v>
      </c>
      <c r="L90" s="23">
        <f t="shared" si="19"/>
        <v>145.00660388766715</v>
      </c>
      <c r="N90" s="18">
        <f t="shared" si="34"/>
        <v>383.59088037492324</v>
      </c>
      <c r="O90" s="23">
        <f t="shared" si="21"/>
        <v>677.30171309564616</v>
      </c>
      <c r="P90" s="17" t="s">
        <v>159</v>
      </c>
    </row>
    <row r="91" spans="3:16" collapsed="1">
      <c r="C91" s="51" t="s">
        <v>158</v>
      </c>
      <c r="D91" s="1" t="s">
        <v>156</v>
      </c>
      <c r="E91" s="14">
        <f t="shared" si="16"/>
        <v>1285.6519084890431</v>
      </c>
      <c r="F91" s="15">
        <v>1809</v>
      </c>
      <c r="G91" s="15">
        <f t="shared" si="28"/>
        <v>2184.3367346938776</v>
      </c>
      <c r="I91" s="20">
        <v>0.79</v>
      </c>
      <c r="J91" s="15">
        <f t="shared" si="33"/>
        <v>2178.1836734693879</v>
      </c>
      <c r="K91" s="18">
        <f t="shared" si="18"/>
        <v>94.67831416144854</v>
      </c>
      <c r="L91" s="23">
        <f t="shared" si="19"/>
        <v>189.94710096509044</v>
      </c>
      <c r="N91" s="18">
        <f t="shared" si="34"/>
        <v>502.47349934702117</v>
      </c>
      <c r="O91" s="23">
        <f t="shared" si="21"/>
        <v>887.21129543086454</v>
      </c>
      <c r="P91" s="17" t="s">
        <v>159</v>
      </c>
    </row>
    <row r="92" spans="3:16">
      <c r="C92" s="51" t="s">
        <v>158</v>
      </c>
      <c r="D92" s="1" t="s">
        <v>157</v>
      </c>
      <c r="E92" s="14">
        <f t="shared" si="16"/>
        <v>1713.4918470796476</v>
      </c>
      <c r="F92" s="15">
        <v>2411</v>
      </c>
      <c r="G92" s="15">
        <f t="shared" si="28"/>
        <v>2911.2414965986395</v>
      </c>
      <c r="I92" s="20">
        <v>0.79</v>
      </c>
      <c r="J92" s="15">
        <f t="shared" si="33"/>
        <v>2903.0408163265306</v>
      </c>
      <c r="K92" s="18">
        <f t="shared" si="18"/>
        <v>126.18541483872437</v>
      </c>
      <c r="L92" s="23">
        <f t="shared" si="19"/>
        <v>253.15780012539133</v>
      </c>
      <c r="N92" s="18">
        <f t="shared" si="34"/>
        <v>669.68690266758881</v>
      </c>
      <c r="O92" s="23">
        <f t="shared" si="21"/>
        <v>1182.4579509584385</v>
      </c>
      <c r="P92" s="17" t="s">
        <v>159</v>
      </c>
    </row>
    <row r="93" spans="3:16">
      <c r="C93" s="51" t="s">
        <v>158</v>
      </c>
      <c r="D93" s="1" t="s">
        <v>152</v>
      </c>
      <c r="E93" s="14">
        <f t="shared" si="16"/>
        <v>1924.5690260853114</v>
      </c>
      <c r="F93" s="15">
        <v>2708</v>
      </c>
      <c r="G93" s="15">
        <f t="shared" si="28"/>
        <v>3269.8639455782313</v>
      </c>
      <c r="I93" s="20">
        <v>0.79</v>
      </c>
      <c r="J93" s="15">
        <f t="shared" si="33"/>
        <v>3260.6530612244896</v>
      </c>
      <c r="K93" s="18">
        <f t="shared" si="18"/>
        <v>141.729615671201</v>
      </c>
      <c r="L93" s="23">
        <f t="shared" si="19"/>
        <v>284.34314505995849</v>
      </c>
      <c r="N93" s="18">
        <f t="shared" si="34"/>
        <v>752.1825518141145</v>
      </c>
      <c r="O93" s="23">
        <f t="shared" si="21"/>
        <v>1328.1195069246996</v>
      </c>
      <c r="P93" s="17" t="s">
        <v>159</v>
      </c>
    </row>
    <row r="94" spans="3:16">
      <c r="C94" s="51" t="s">
        <v>158</v>
      </c>
      <c r="D94" s="1" t="s">
        <v>153</v>
      </c>
      <c r="E94" s="14">
        <f t="shared" si="16"/>
        <v>2528.6619626335073</v>
      </c>
      <c r="F94" s="15">
        <v>3558</v>
      </c>
      <c r="G94" s="15">
        <f t="shared" si="28"/>
        <v>4296.2244897959181</v>
      </c>
      <c r="I94" s="20">
        <v>0.79</v>
      </c>
      <c r="J94" s="15">
        <f t="shared" si="33"/>
        <v>4284.1224489795923</v>
      </c>
      <c r="K94" s="18">
        <f t="shared" si="18"/>
        <v>186.21638573047753</v>
      </c>
      <c r="L94" s="23">
        <f t="shared" si="19"/>
        <v>373.59413224642998</v>
      </c>
      <c r="N94" s="18">
        <f t="shared" si="34"/>
        <v>988.2812109876736</v>
      </c>
      <c r="O94" s="23">
        <f t="shared" si="21"/>
        <v>1744.9960138988488</v>
      </c>
      <c r="P94" s="17" t="s">
        <v>159</v>
      </c>
    </row>
    <row r="95" spans="3:16">
      <c r="C95" s="51" t="s">
        <v>158</v>
      </c>
      <c r="D95" s="1" t="s">
        <v>154</v>
      </c>
      <c r="E95" s="14">
        <f t="shared" si="16"/>
        <v>3363.7316102148375</v>
      </c>
      <c r="F95" s="15">
        <v>4733</v>
      </c>
      <c r="G95" s="15">
        <f t="shared" si="28"/>
        <v>5715.017006802721</v>
      </c>
      <c r="I95" s="20">
        <v>0.79</v>
      </c>
      <c r="J95" s="15">
        <f t="shared" si="33"/>
        <v>5698.9183673469388</v>
      </c>
      <c r="K95" s="18">
        <f t="shared" si="18"/>
        <v>247.71280316535979</v>
      </c>
      <c r="L95" s="23">
        <f t="shared" si="19"/>
        <v>496.97049688655221</v>
      </c>
      <c r="N95" s="18">
        <f t="shared" si="34"/>
        <v>1314.6528869040637</v>
      </c>
      <c r="O95" s="23">
        <f t="shared" si="21"/>
        <v>2321.2664794219363</v>
      </c>
      <c r="P95" s="17" t="s">
        <v>159</v>
      </c>
    </row>
    <row r="96" spans="3:16">
      <c r="C96" s="51" t="s">
        <v>158</v>
      </c>
      <c r="D96" s="1" t="s">
        <v>149</v>
      </c>
      <c r="E96" s="14">
        <f t="shared" si="16"/>
        <v>4050.2654651625521</v>
      </c>
      <c r="F96" s="15">
        <v>5699</v>
      </c>
      <c r="G96" s="15">
        <f t="shared" si="28"/>
        <v>6881.4455782312925</v>
      </c>
      <c r="I96" s="20">
        <v>0.79</v>
      </c>
      <c r="J96" s="15">
        <f t="shared" si="33"/>
        <v>6862.0612244897957</v>
      </c>
      <c r="K96" s="18">
        <f t="shared" si="18"/>
        <v>298.27070890331407</v>
      </c>
      <c r="L96" s="23">
        <f t="shared" si="19"/>
        <v>598.40161879494212</v>
      </c>
      <c r="N96" s="18">
        <f t="shared" si="34"/>
        <v>1582.972068976602</v>
      </c>
      <c r="O96" s="23">
        <f t="shared" si="21"/>
        <v>2795.0343685243211</v>
      </c>
      <c r="P96" s="17" t="s">
        <v>159</v>
      </c>
    </row>
    <row r="97" spans="3:16">
      <c r="C97" s="51" t="s">
        <v>158</v>
      </c>
      <c r="D97" s="1" t="s">
        <v>150</v>
      </c>
      <c r="E97" s="14">
        <f t="shared" si="16"/>
        <v>5301.0931926035228</v>
      </c>
      <c r="F97" s="15">
        <v>7459</v>
      </c>
      <c r="G97" s="15">
        <f t="shared" si="28"/>
        <v>9006.6156462585041</v>
      </c>
      <c r="I97" s="20">
        <v>0.79</v>
      </c>
      <c r="J97" s="15">
        <f t="shared" si="33"/>
        <v>8981.2448979591845</v>
      </c>
      <c r="K97" s="18">
        <f t="shared" si="18"/>
        <v>390.38449161428667</v>
      </c>
      <c r="L97" s="23">
        <f t="shared" si="19"/>
        <v>783.20366285163607</v>
      </c>
      <c r="N97" s="18">
        <f t="shared" si="34"/>
        <v>2071.835175030089</v>
      </c>
      <c r="O97" s="23">
        <f t="shared" si="21"/>
        <v>3658.2139594354999</v>
      </c>
      <c r="P97" s="17" t="s">
        <v>159</v>
      </c>
    </row>
    <row r="98" spans="3:16">
      <c r="C98" s="51" t="s">
        <v>158</v>
      </c>
      <c r="D98" s="1" t="s">
        <v>151</v>
      </c>
      <c r="E98" s="14">
        <f t="shared" si="16"/>
        <v>7062.2017770346165</v>
      </c>
      <c r="F98" s="15">
        <v>9937</v>
      </c>
      <c r="G98" s="15">
        <f t="shared" si="28"/>
        <v>11998.758503401361</v>
      </c>
      <c r="I98" s="20">
        <v>0.79</v>
      </c>
      <c r="J98" s="15">
        <f t="shared" si="33"/>
        <v>11964.959183673469</v>
      </c>
      <c r="K98" s="18">
        <f t="shared" si="18"/>
        <v>520.07651068121277</v>
      </c>
      <c r="L98" s="23">
        <f t="shared" si="19"/>
        <v>1043.3965407905491</v>
      </c>
      <c r="N98" s="18">
        <f t="shared" si="34"/>
        <v>2760.1322073031224</v>
      </c>
      <c r="O98" s="23">
        <f t="shared" si="21"/>
        <v>4873.5315880024882</v>
      </c>
      <c r="P98" s="17" t="s">
        <v>159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opLeftCell="A43" zoomScaleNormal="100" workbookViewId="0">
      <selection activeCell="A85" sqref="A85"/>
    </sheetView>
  </sheetViews>
  <sheetFormatPr defaultRowHeight="12.75"/>
  <cols>
    <col min="1" max="1" width="21.6640625" style="1" customWidth="1"/>
    <col min="2" max="12" width="9.33203125" style="1"/>
    <col min="13" max="13" width="13.6640625" style="1" bestFit="1" customWidth="1"/>
    <col min="14" max="16384" width="9.33203125" style="1"/>
  </cols>
  <sheetData>
    <row r="1" spans="1:13" ht="33.75">
      <c r="A1" s="10" t="s">
        <v>0</v>
      </c>
      <c r="B1" s="11" t="s">
        <v>42</v>
      </c>
      <c r="C1" s="11" t="s">
        <v>43</v>
      </c>
      <c r="D1" s="11" t="s">
        <v>44</v>
      </c>
      <c r="E1" s="11" t="s">
        <v>45</v>
      </c>
      <c r="F1" s="10" t="s">
        <v>46</v>
      </c>
      <c r="G1" s="10" t="s">
        <v>47</v>
      </c>
      <c r="H1" s="10" t="s">
        <v>48</v>
      </c>
      <c r="I1" s="10" t="s">
        <v>49</v>
      </c>
      <c r="J1" s="56" t="s">
        <v>1</v>
      </c>
      <c r="K1" s="56"/>
    </row>
    <row r="2" spans="1:13" ht="15.75">
      <c r="A2" s="2"/>
      <c r="B2" s="2" t="s">
        <v>37</v>
      </c>
      <c r="C2" s="2" t="s">
        <v>37</v>
      </c>
      <c r="D2" s="2" t="s">
        <v>38</v>
      </c>
      <c r="E2" s="2" t="s">
        <v>38</v>
      </c>
      <c r="F2" s="2" t="s">
        <v>38</v>
      </c>
      <c r="G2" s="2" t="s">
        <v>38</v>
      </c>
      <c r="H2" s="2" t="s">
        <v>38</v>
      </c>
      <c r="I2" s="2" t="s">
        <v>38</v>
      </c>
      <c r="J2" s="2" t="s">
        <v>39</v>
      </c>
      <c r="K2" s="2"/>
      <c r="M2" s="1">
        <f>660/390</f>
        <v>1.6923076923076923</v>
      </c>
    </row>
    <row r="3" spans="1:13" ht="15">
      <c r="A3" s="3" t="s">
        <v>2</v>
      </c>
      <c r="B3" s="4">
        <v>550</v>
      </c>
      <c r="C3" s="4">
        <f t="shared" ref="C3:C22" si="0">B3*60/50</f>
        <v>660</v>
      </c>
      <c r="D3" s="4">
        <v>125</v>
      </c>
      <c r="E3" s="5">
        <v>75</v>
      </c>
      <c r="F3" s="3">
        <v>1063</v>
      </c>
      <c r="G3" s="4">
        <v>490</v>
      </c>
      <c r="H3" s="4">
        <v>248</v>
      </c>
      <c r="I3" s="4">
        <v>250</v>
      </c>
      <c r="J3" s="4">
        <v>470</v>
      </c>
      <c r="K3" s="4"/>
    </row>
    <row r="4" spans="1:13" ht="15">
      <c r="A4" s="3" t="s">
        <v>3</v>
      </c>
      <c r="B4" s="4">
        <v>680</v>
      </c>
      <c r="C4" s="4">
        <v>820</v>
      </c>
      <c r="D4" s="4">
        <v>125</v>
      </c>
      <c r="E4" s="5">
        <v>75</v>
      </c>
      <c r="F4" s="3">
        <v>1120</v>
      </c>
      <c r="G4" s="4">
        <v>490</v>
      </c>
      <c r="H4" s="4">
        <v>248</v>
      </c>
      <c r="I4" s="4">
        <v>250</v>
      </c>
      <c r="J4" s="4">
        <v>495</v>
      </c>
      <c r="K4" s="4"/>
    </row>
    <row r="5" spans="1:13" ht="15">
      <c r="A5" s="3" t="s">
        <v>4</v>
      </c>
      <c r="B5" s="4">
        <v>815</v>
      </c>
      <c r="C5" s="4">
        <v>975</v>
      </c>
      <c r="D5" s="4">
        <v>150</v>
      </c>
      <c r="E5" s="4">
        <v>100</v>
      </c>
      <c r="F5" s="3">
        <v>1201</v>
      </c>
      <c r="G5" s="4">
        <v>640</v>
      </c>
      <c r="H5" s="4">
        <v>310</v>
      </c>
      <c r="I5" s="4">
        <v>315</v>
      </c>
      <c r="J5" s="4">
        <v>760</v>
      </c>
      <c r="K5" s="4"/>
    </row>
    <row r="6" spans="1:13" ht="15">
      <c r="A6" s="3" t="s">
        <v>5</v>
      </c>
      <c r="B6" s="4">
        <v>1095</v>
      </c>
      <c r="C6" s="4">
        <v>1315</v>
      </c>
      <c r="D6" s="4">
        <v>200</v>
      </c>
      <c r="E6" s="4">
        <v>125</v>
      </c>
      <c r="F6" s="3">
        <v>1273</v>
      </c>
      <c r="G6" s="4">
        <v>640</v>
      </c>
      <c r="H6" s="4">
        <v>310</v>
      </c>
      <c r="I6" s="4">
        <v>315</v>
      </c>
      <c r="J6" s="4">
        <v>850</v>
      </c>
      <c r="K6" s="4"/>
    </row>
    <row r="7" spans="1:13" ht="15">
      <c r="A7" s="3" t="s">
        <v>6</v>
      </c>
      <c r="B7" s="4">
        <v>1220</v>
      </c>
      <c r="C7" s="4">
        <f t="shared" si="0"/>
        <v>1464</v>
      </c>
      <c r="D7" s="4">
        <v>200</v>
      </c>
      <c r="E7" s="4">
        <v>125</v>
      </c>
      <c r="F7" s="3">
        <v>1314</v>
      </c>
      <c r="G7" s="4">
        <v>640</v>
      </c>
      <c r="H7" s="4">
        <v>310</v>
      </c>
      <c r="I7" s="4">
        <v>315</v>
      </c>
      <c r="J7" s="4">
        <v>887</v>
      </c>
      <c r="K7" s="4"/>
    </row>
    <row r="8" spans="1:13" ht="15">
      <c r="A8" s="3" t="s">
        <v>7</v>
      </c>
      <c r="B8" s="4">
        <v>1340</v>
      </c>
      <c r="C8" s="4">
        <f t="shared" si="0"/>
        <v>1608</v>
      </c>
      <c r="D8" s="4">
        <v>200</v>
      </c>
      <c r="E8" s="4">
        <v>125</v>
      </c>
      <c r="F8" s="3">
        <v>1370</v>
      </c>
      <c r="G8" s="4">
        <v>640</v>
      </c>
      <c r="H8" s="4">
        <v>310</v>
      </c>
      <c r="I8" s="4">
        <v>315</v>
      </c>
      <c r="J8" s="4">
        <v>925</v>
      </c>
      <c r="K8" s="4"/>
    </row>
    <row r="9" spans="1:13" ht="15">
      <c r="A9" s="3" t="s">
        <v>8</v>
      </c>
      <c r="B9" s="4">
        <v>1590</v>
      </c>
      <c r="C9" s="4">
        <f t="shared" si="0"/>
        <v>1908</v>
      </c>
      <c r="D9" s="4">
        <v>200</v>
      </c>
      <c r="E9" s="4">
        <v>150</v>
      </c>
      <c r="F9" s="3">
        <v>1493</v>
      </c>
      <c r="G9" s="4">
        <v>692</v>
      </c>
      <c r="H9" s="4">
        <v>349</v>
      </c>
      <c r="I9" s="4">
        <v>362</v>
      </c>
      <c r="J9" s="4">
        <v>1200</v>
      </c>
      <c r="K9" s="4"/>
    </row>
    <row r="10" spans="1:13" ht="15">
      <c r="A10" s="3" t="s">
        <v>9</v>
      </c>
      <c r="B10" s="4">
        <v>1755</v>
      </c>
      <c r="C10" s="4">
        <f t="shared" si="0"/>
        <v>2106</v>
      </c>
      <c r="D10" s="4">
        <v>200</v>
      </c>
      <c r="E10" s="4">
        <v>150</v>
      </c>
      <c r="F10" s="3">
        <v>1544</v>
      </c>
      <c r="G10" s="4">
        <v>692</v>
      </c>
      <c r="H10" s="4">
        <v>349</v>
      </c>
      <c r="I10" s="4">
        <v>362</v>
      </c>
      <c r="J10" s="4">
        <v>1270</v>
      </c>
      <c r="K10" s="4"/>
    </row>
    <row r="11" spans="1:13" ht="15">
      <c r="A11" s="3" t="s">
        <v>10</v>
      </c>
      <c r="B11" s="4">
        <v>2150</v>
      </c>
      <c r="C11" s="4">
        <f t="shared" si="0"/>
        <v>2580</v>
      </c>
      <c r="D11" s="4">
        <v>255</v>
      </c>
      <c r="E11" s="4">
        <v>200</v>
      </c>
      <c r="F11" s="3">
        <v>1583</v>
      </c>
      <c r="G11" s="4">
        <v>692</v>
      </c>
      <c r="H11" s="4">
        <v>349</v>
      </c>
      <c r="I11" s="4">
        <v>362</v>
      </c>
      <c r="J11" s="4">
        <v>1325</v>
      </c>
      <c r="K11" s="4"/>
    </row>
    <row r="12" spans="1:13" ht="15">
      <c r="A12" s="3" t="s">
        <v>11</v>
      </c>
      <c r="B12" s="4">
        <v>2395</v>
      </c>
      <c r="C12" s="4">
        <f t="shared" si="0"/>
        <v>2874</v>
      </c>
      <c r="D12" s="4">
        <v>255</v>
      </c>
      <c r="E12" s="4">
        <v>200</v>
      </c>
      <c r="F12" s="3">
        <v>1633</v>
      </c>
      <c r="G12" s="4">
        <v>692</v>
      </c>
      <c r="H12" s="4">
        <v>349</v>
      </c>
      <c r="I12" s="4">
        <v>362</v>
      </c>
      <c r="J12" s="4">
        <v>1422</v>
      </c>
      <c r="K12" s="4"/>
    </row>
    <row r="13" spans="1:13" ht="15">
      <c r="A13" s="3" t="s">
        <v>12</v>
      </c>
      <c r="B13" s="4">
        <v>2630</v>
      </c>
      <c r="C13" s="4">
        <f t="shared" si="0"/>
        <v>3156</v>
      </c>
      <c r="D13" s="4">
        <v>255</v>
      </c>
      <c r="E13" s="4">
        <v>200</v>
      </c>
      <c r="F13" s="3">
        <v>1705</v>
      </c>
      <c r="G13" s="4">
        <v>692</v>
      </c>
      <c r="H13" s="4">
        <v>349</v>
      </c>
      <c r="I13" s="4">
        <v>362</v>
      </c>
      <c r="J13" s="4">
        <v>1540</v>
      </c>
      <c r="K13" s="4"/>
    </row>
    <row r="14" spans="1:13" ht="15" customHeight="1">
      <c r="A14" s="3" t="s">
        <v>13</v>
      </c>
      <c r="B14" s="4">
        <v>3190</v>
      </c>
      <c r="C14" s="4">
        <f t="shared" si="0"/>
        <v>3828</v>
      </c>
      <c r="D14" s="4">
        <v>255</v>
      </c>
      <c r="E14" s="4">
        <v>200</v>
      </c>
      <c r="F14" s="3">
        <v>1815</v>
      </c>
      <c r="G14" s="4">
        <v>692</v>
      </c>
      <c r="H14" s="4">
        <v>349</v>
      </c>
      <c r="I14" s="4">
        <v>362</v>
      </c>
      <c r="J14" s="4">
        <v>1650</v>
      </c>
      <c r="K14" s="4"/>
    </row>
    <row r="15" spans="1:13" ht="15">
      <c r="A15" s="3" t="s">
        <v>14</v>
      </c>
      <c r="B15" s="4">
        <v>3830</v>
      </c>
      <c r="C15" s="4">
        <f t="shared" si="0"/>
        <v>4596</v>
      </c>
      <c r="D15" s="4">
        <v>255</v>
      </c>
      <c r="E15" s="4">
        <v>200</v>
      </c>
      <c r="F15" s="3">
        <v>2005</v>
      </c>
      <c r="G15" s="4">
        <v>940</v>
      </c>
      <c r="H15" s="4">
        <v>471</v>
      </c>
      <c r="I15" s="4">
        <v>500</v>
      </c>
      <c r="J15" s="4">
        <v>2925</v>
      </c>
      <c r="K15" s="4"/>
    </row>
    <row r="16" spans="1:13" ht="15">
      <c r="A16" s="3" t="s">
        <v>15</v>
      </c>
      <c r="B16" s="4">
        <v>4790</v>
      </c>
      <c r="C16" s="4">
        <f t="shared" si="0"/>
        <v>5748</v>
      </c>
      <c r="D16" s="4">
        <v>300</v>
      </c>
      <c r="E16" s="4">
        <v>255</v>
      </c>
      <c r="F16" s="3">
        <v>2110</v>
      </c>
      <c r="G16" s="4">
        <v>940</v>
      </c>
      <c r="H16" s="4">
        <v>471</v>
      </c>
      <c r="I16" s="4">
        <v>500</v>
      </c>
      <c r="J16" s="4">
        <v>3150</v>
      </c>
      <c r="K16" s="4"/>
    </row>
    <row r="17" spans="1:12" ht="15" customHeight="1">
      <c r="A17" s="3" t="s">
        <v>16</v>
      </c>
      <c r="B17" s="4">
        <v>5260</v>
      </c>
      <c r="C17" s="4">
        <f t="shared" si="0"/>
        <v>6312</v>
      </c>
      <c r="D17" s="4">
        <v>300</v>
      </c>
      <c r="E17" s="4">
        <v>255</v>
      </c>
      <c r="F17" s="3">
        <v>2200</v>
      </c>
      <c r="G17" s="4">
        <v>940</v>
      </c>
      <c r="H17" s="4">
        <v>471</v>
      </c>
      <c r="I17" s="4">
        <v>500</v>
      </c>
      <c r="J17" s="4">
        <v>3260</v>
      </c>
      <c r="K17" s="4"/>
    </row>
    <row r="18" spans="1:12" ht="15" customHeight="1">
      <c r="A18" s="3" t="s">
        <v>17</v>
      </c>
      <c r="B18" s="4">
        <v>6385</v>
      </c>
      <c r="C18" s="4">
        <f t="shared" si="0"/>
        <v>7662</v>
      </c>
      <c r="D18" s="4">
        <v>350</v>
      </c>
      <c r="E18" s="4">
        <v>300</v>
      </c>
      <c r="F18" s="3">
        <v>2345</v>
      </c>
      <c r="G18" s="4">
        <v>940</v>
      </c>
      <c r="H18" s="4">
        <v>471</v>
      </c>
      <c r="I18" s="4">
        <v>500</v>
      </c>
      <c r="J18" s="4">
        <v>3500</v>
      </c>
      <c r="K18" s="4"/>
    </row>
    <row r="19" spans="1:12" ht="15" customHeight="1">
      <c r="A19" s="3" t="s">
        <v>18</v>
      </c>
      <c r="B19" s="4">
        <v>6771</v>
      </c>
      <c r="C19" s="4">
        <f t="shared" si="0"/>
        <v>8125.2</v>
      </c>
      <c r="D19" s="4">
        <v>350</v>
      </c>
      <c r="E19" s="4">
        <v>300</v>
      </c>
      <c r="F19" s="3">
        <v>2418</v>
      </c>
      <c r="G19" s="4">
        <v>1125</v>
      </c>
      <c r="H19" s="4">
        <v>565</v>
      </c>
      <c r="I19" s="4">
        <v>590</v>
      </c>
      <c r="J19" s="4">
        <v>5500</v>
      </c>
      <c r="K19" s="4"/>
    </row>
    <row r="20" spans="1:12" ht="15">
      <c r="A20" s="3" t="s">
        <v>19</v>
      </c>
      <c r="B20" s="4">
        <v>7920</v>
      </c>
      <c r="C20" s="4">
        <f t="shared" si="0"/>
        <v>9504</v>
      </c>
      <c r="D20" s="4">
        <v>350</v>
      </c>
      <c r="E20" s="4">
        <v>300</v>
      </c>
      <c r="F20" s="3">
        <v>2520</v>
      </c>
      <c r="G20" s="4">
        <v>1125</v>
      </c>
      <c r="H20" s="4">
        <v>565</v>
      </c>
      <c r="I20" s="4">
        <v>590</v>
      </c>
      <c r="J20" s="4">
        <v>6100</v>
      </c>
      <c r="K20" s="4"/>
    </row>
    <row r="21" spans="1:12" ht="15">
      <c r="A21" s="3" t="s">
        <v>20</v>
      </c>
      <c r="B21" s="4">
        <v>7660</v>
      </c>
      <c r="C21" s="4">
        <f t="shared" si="0"/>
        <v>9192</v>
      </c>
      <c r="D21" s="4">
        <v>350</v>
      </c>
      <c r="E21" s="4">
        <v>255</v>
      </c>
      <c r="F21" s="3">
        <v>2920</v>
      </c>
      <c r="G21" s="4">
        <v>1560</v>
      </c>
      <c r="H21" s="4">
        <v>750</v>
      </c>
      <c r="I21" s="4">
        <v>750</v>
      </c>
      <c r="J21" s="4">
        <v>10800</v>
      </c>
      <c r="K21" s="4"/>
    </row>
    <row r="22" spans="1:12" ht="15">
      <c r="A22" s="3" t="s">
        <v>21</v>
      </c>
      <c r="B22" s="4">
        <v>9575</v>
      </c>
      <c r="C22" s="4">
        <f t="shared" si="0"/>
        <v>11490</v>
      </c>
      <c r="D22" s="4">
        <v>400</v>
      </c>
      <c r="E22" s="4">
        <v>300</v>
      </c>
      <c r="F22" s="3">
        <v>3090</v>
      </c>
      <c r="G22" s="4">
        <v>1560</v>
      </c>
      <c r="H22" s="4">
        <v>750</v>
      </c>
      <c r="I22" s="4">
        <v>750</v>
      </c>
      <c r="J22" s="4">
        <v>11500</v>
      </c>
      <c r="K22" s="4"/>
    </row>
    <row r="23" spans="1:12" ht="15">
      <c r="A23" s="3" t="s">
        <v>22</v>
      </c>
      <c r="B23" s="4">
        <v>10510</v>
      </c>
      <c r="C23" s="4">
        <f>B23*60/50</f>
        <v>12612</v>
      </c>
      <c r="D23" s="4">
        <v>400</v>
      </c>
      <c r="E23" s="4">
        <v>300</v>
      </c>
      <c r="F23" s="3">
        <v>3233</v>
      </c>
      <c r="G23" s="4">
        <v>1560</v>
      </c>
      <c r="H23" s="4">
        <v>750</v>
      </c>
      <c r="I23" s="4">
        <v>750</v>
      </c>
      <c r="J23" s="4">
        <v>11800</v>
      </c>
      <c r="K23" s="4"/>
    </row>
    <row r="24" spans="1:12" ht="15.75">
      <c r="E24" s="7"/>
      <c r="F24" s="7"/>
      <c r="G24" s="7"/>
      <c r="H24" s="7"/>
      <c r="I24" s="7"/>
      <c r="J24" s="7"/>
      <c r="K24" s="7"/>
    </row>
    <row r="25" spans="1:12" ht="15.75">
      <c r="A25" s="8" t="s">
        <v>41</v>
      </c>
      <c r="B25" s="8"/>
      <c r="C25" s="8"/>
      <c r="D25" s="8"/>
      <c r="E25" s="8"/>
      <c r="F25" s="8"/>
      <c r="G25" s="8"/>
      <c r="H25" s="8"/>
      <c r="I25" s="8"/>
      <c r="J25" s="8"/>
    </row>
    <row r="26" spans="1:12" ht="15">
      <c r="A26" s="3" t="s">
        <v>26</v>
      </c>
      <c r="B26" s="3">
        <v>293</v>
      </c>
      <c r="C26" s="3">
        <v>352</v>
      </c>
      <c r="D26" s="3">
        <v>100</v>
      </c>
      <c r="E26" s="3">
        <v>50</v>
      </c>
      <c r="F26" s="3">
        <v>850</v>
      </c>
      <c r="G26" s="3">
        <v>390</v>
      </c>
      <c r="H26" s="3">
        <v>299</v>
      </c>
      <c r="I26" s="3">
        <v>201</v>
      </c>
      <c r="J26" s="3">
        <v>250</v>
      </c>
    </row>
    <row r="27" spans="1:12" ht="15">
      <c r="A27" s="3" t="s">
        <v>27</v>
      </c>
      <c r="B27" s="3">
        <v>397</v>
      </c>
      <c r="C27" s="3">
        <v>476</v>
      </c>
      <c r="D27" s="3">
        <v>100</v>
      </c>
      <c r="E27" s="3">
        <v>50</v>
      </c>
      <c r="F27" s="3">
        <v>900</v>
      </c>
      <c r="G27" s="3">
        <v>390</v>
      </c>
      <c r="H27" s="3">
        <v>209</v>
      </c>
      <c r="I27" s="3">
        <v>291</v>
      </c>
      <c r="J27" s="3">
        <v>250</v>
      </c>
    </row>
    <row r="28" spans="1:12" ht="15">
      <c r="A28" s="3" t="s">
        <v>28</v>
      </c>
      <c r="B28" s="3">
        <v>489</v>
      </c>
      <c r="C28" s="3">
        <v>586</v>
      </c>
      <c r="D28" s="3">
        <v>100</v>
      </c>
      <c r="E28" s="3">
        <v>50</v>
      </c>
      <c r="F28" s="3">
        <v>900</v>
      </c>
      <c r="G28" s="3">
        <v>390</v>
      </c>
      <c r="H28" s="3">
        <v>209</v>
      </c>
      <c r="I28" s="3">
        <v>291</v>
      </c>
      <c r="J28" s="3">
        <v>250</v>
      </c>
    </row>
    <row r="29" spans="1:12" ht="15">
      <c r="A29" s="3" t="s">
        <v>29</v>
      </c>
      <c r="B29" s="3">
        <v>576</v>
      </c>
      <c r="C29" s="3" t="s">
        <v>30</v>
      </c>
      <c r="D29" s="3">
        <v>100</v>
      </c>
      <c r="E29" s="3">
        <v>50</v>
      </c>
      <c r="F29" s="3">
        <v>900</v>
      </c>
      <c r="G29" s="3">
        <v>390</v>
      </c>
      <c r="H29" s="3">
        <v>209</v>
      </c>
      <c r="I29" s="3">
        <v>291</v>
      </c>
      <c r="J29" s="3">
        <v>250</v>
      </c>
    </row>
    <row r="30" spans="1:12" ht="15.75">
      <c r="A30" s="8" t="s">
        <v>25</v>
      </c>
      <c r="B30" s="8"/>
      <c r="C30" s="8"/>
      <c r="D30" s="8"/>
      <c r="E30" s="8"/>
      <c r="F30" s="8"/>
      <c r="G30" s="8"/>
      <c r="H30" s="8"/>
      <c r="I30" s="8"/>
      <c r="J30" s="8"/>
      <c r="K30" s="9"/>
      <c r="L30" s="9"/>
    </row>
    <row r="31" spans="1:12" ht="15">
      <c r="A31" s="3" t="s">
        <v>31</v>
      </c>
      <c r="B31" s="3">
        <v>593</v>
      </c>
      <c r="C31" s="3">
        <v>712</v>
      </c>
      <c r="D31" s="3">
        <v>125</v>
      </c>
      <c r="E31" s="3">
        <v>76</v>
      </c>
      <c r="F31" s="3">
        <v>1070</v>
      </c>
      <c r="G31" s="3">
        <v>430</v>
      </c>
      <c r="H31" s="3">
        <v>200</v>
      </c>
      <c r="I31" s="3">
        <v>250</v>
      </c>
      <c r="J31" s="3">
        <v>364</v>
      </c>
    </row>
    <row r="32" spans="1:12" ht="15">
      <c r="A32" s="3" t="s">
        <v>32</v>
      </c>
      <c r="B32" s="3">
        <v>710</v>
      </c>
      <c r="C32" s="3">
        <v>852</v>
      </c>
      <c r="D32" s="3">
        <v>125</v>
      </c>
      <c r="E32" s="3">
        <v>76</v>
      </c>
      <c r="F32" s="3">
        <v>1116</v>
      </c>
      <c r="G32" s="3">
        <v>430</v>
      </c>
      <c r="H32" s="3">
        <v>200</v>
      </c>
      <c r="I32" s="3">
        <v>250</v>
      </c>
      <c r="J32" s="3">
        <v>388</v>
      </c>
    </row>
    <row r="33" spans="1:10" ht="15">
      <c r="A33" s="3" t="s">
        <v>33</v>
      </c>
      <c r="B33" s="3">
        <v>812</v>
      </c>
      <c r="C33" s="3">
        <v>974</v>
      </c>
      <c r="D33" s="3">
        <v>150</v>
      </c>
      <c r="E33" s="3">
        <v>100</v>
      </c>
      <c r="F33" s="3">
        <v>1178</v>
      </c>
      <c r="G33" s="3">
        <v>516</v>
      </c>
      <c r="H33" s="3">
        <v>240</v>
      </c>
      <c r="I33" s="3">
        <v>305</v>
      </c>
      <c r="J33" s="3">
        <v>636</v>
      </c>
    </row>
    <row r="34" spans="1:10" ht="15">
      <c r="A34" s="3" t="s">
        <v>34</v>
      </c>
      <c r="B34" s="3">
        <v>1070</v>
      </c>
      <c r="C34" s="3">
        <v>1284</v>
      </c>
      <c r="D34" s="3">
        <v>150</v>
      </c>
      <c r="E34" s="3">
        <v>100</v>
      </c>
      <c r="F34" s="3">
        <v>1249</v>
      </c>
      <c r="G34" s="3">
        <v>516</v>
      </c>
      <c r="H34" s="3">
        <v>240</v>
      </c>
      <c r="I34" s="3">
        <v>305</v>
      </c>
      <c r="J34" s="3">
        <v>660</v>
      </c>
    </row>
    <row r="35" spans="1:10" ht="15">
      <c r="A35" s="3" t="s">
        <v>35</v>
      </c>
      <c r="B35" s="3">
        <v>1219</v>
      </c>
      <c r="C35" s="3">
        <v>1463</v>
      </c>
      <c r="D35" s="3">
        <v>150</v>
      </c>
      <c r="E35" s="3">
        <v>100</v>
      </c>
      <c r="F35" s="3">
        <v>1255</v>
      </c>
      <c r="G35" s="3">
        <v>516</v>
      </c>
      <c r="H35" s="3">
        <v>240</v>
      </c>
      <c r="I35" s="3">
        <v>305</v>
      </c>
      <c r="J35" s="3">
        <v>690</v>
      </c>
    </row>
    <row r="36" spans="1:10" ht="15">
      <c r="A36" s="3" t="s">
        <v>36</v>
      </c>
      <c r="B36" s="3">
        <v>1348</v>
      </c>
      <c r="C36" s="3">
        <v>1618</v>
      </c>
      <c r="D36" s="3">
        <v>150</v>
      </c>
      <c r="E36" s="3">
        <v>100</v>
      </c>
      <c r="F36" s="3">
        <v>1312</v>
      </c>
      <c r="G36" s="3">
        <v>516</v>
      </c>
      <c r="H36" s="3">
        <v>240</v>
      </c>
      <c r="I36" s="3">
        <v>305</v>
      </c>
      <c r="J36" s="3">
        <v>736</v>
      </c>
    </row>
    <row r="37" spans="1:10" ht="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5.75">
      <c r="A39" s="6" t="s">
        <v>23</v>
      </c>
      <c r="B39" s="7"/>
      <c r="C39" s="7"/>
      <c r="D39" s="7"/>
    </row>
    <row r="40" spans="1:10" ht="15.75">
      <c r="A40" s="6" t="s">
        <v>24</v>
      </c>
      <c r="B40" s="7"/>
      <c r="C40" s="7"/>
      <c r="D40" s="7"/>
    </row>
    <row r="42" spans="1:10" ht="15.75">
      <c r="A42" s="6" t="s">
        <v>40</v>
      </c>
    </row>
  </sheetData>
  <mergeCells count="1"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I29:T93"/>
  <sheetViews>
    <sheetView topLeftCell="A40" zoomScale="70" zoomScaleNormal="70" workbookViewId="0">
      <selection activeCell="S70" sqref="S70:T72"/>
    </sheetView>
  </sheetViews>
  <sheetFormatPr defaultRowHeight="12.75"/>
  <cols>
    <col min="1" max="2" width="9.33203125" style="1"/>
    <col min="3" max="3" width="12.33203125" style="1" customWidth="1"/>
    <col min="4" max="4" width="11" style="1" bestFit="1" customWidth="1"/>
    <col min="5" max="5" width="16.83203125" style="1" bestFit="1" customWidth="1"/>
    <col min="6" max="6" width="12.6640625" style="1" customWidth="1"/>
    <col min="7" max="16384" width="9.33203125" style="1"/>
  </cols>
  <sheetData>
    <row r="29" ht="12.75" customHeight="1"/>
    <row r="70" spans="19:20">
      <c r="S70" s="16" t="s">
        <v>50</v>
      </c>
      <c r="T70" s="16">
        <v>2.63</v>
      </c>
    </row>
    <row r="71" spans="19:20">
      <c r="S71" s="16" t="s">
        <v>51</v>
      </c>
      <c r="T71" s="16">
        <v>3.65</v>
      </c>
    </row>
    <row r="72" spans="19:20">
      <c r="S72" s="16" t="s">
        <v>52</v>
      </c>
      <c r="T72" s="16">
        <v>5.8</v>
      </c>
    </row>
    <row r="93" spans="9:9">
      <c r="I9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49" sqref="T49"/>
    </sheetView>
  </sheetViews>
  <sheetFormatPr defaultRowHeight="12.75"/>
  <cols>
    <col min="1" max="16384" width="9.33203125" style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2:AC58"/>
  <sheetViews>
    <sheetView workbookViewId="0">
      <selection activeCell="A60" sqref="A60"/>
    </sheetView>
  </sheetViews>
  <sheetFormatPr defaultRowHeight="12.75"/>
  <cols>
    <col min="26" max="26" width="13.5" customWidth="1"/>
    <col min="27" max="28" width="10.1640625" bestFit="1" customWidth="1"/>
  </cols>
  <sheetData>
    <row r="42" spans="2:29" ht="15">
      <c r="Q42" s="57" t="s">
        <v>120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9"/>
    </row>
    <row r="43" spans="2:29">
      <c r="Q43" s="60" t="s">
        <v>121</v>
      </c>
      <c r="R43" s="61"/>
      <c r="S43" s="64" t="s">
        <v>122</v>
      </c>
      <c r="T43" s="65"/>
      <c r="U43" s="66"/>
      <c r="V43" s="60" t="s">
        <v>123</v>
      </c>
      <c r="W43" s="61"/>
      <c r="X43" s="70" t="s">
        <v>124</v>
      </c>
      <c r="Y43" s="72" t="s">
        <v>125</v>
      </c>
      <c r="Z43" s="73"/>
      <c r="AA43" s="74" t="s">
        <v>126</v>
      </c>
      <c r="AB43" s="74" t="s">
        <v>127</v>
      </c>
      <c r="AC43" t="s">
        <v>145</v>
      </c>
    </row>
    <row r="44" spans="2:29">
      <c r="Q44" s="62"/>
      <c r="R44" s="63"/>
      <c r="S44" s="67"/>
      <c r="T44" s="68"/>
      <c r="U44" s="69"/>
      <c r="V44" s="62"/>
      <c r="W44" s="63"/>
      <c r="X44" s="71"/>
      <c r="Y44" s="44" t="s">
        <v>128</v>
      </c>
      <c r="Z44" s="44" t="s">
        <v>129</v>
      </c>
      <c r="AA44" s="75"/>
      <c r="AB44" s="75"/>
      <c r="AC44" t="s">
        <v>50</v>
      </c>
    </row>
    <row r="45" spans="2:29">
      <c r="Q45" s="76" t="s">
        <v>130</v>
      </c>
      <c r="R45" s="77"/>
      <c r="S45" s="78">
        <v>193</v>
      </c>
      <c r="T45" s="79"/>
      <c r="U45" s="80"/>
      <c r="V45" s="81">
        <v>1.35</v>
      </c>
      <c r="W45" s="82"/>
      <c r="X45" s="45" t="s">
        <v>131</v>
      </c>
      <c r="Y45" s="46">
        <v>0.16653000000000001</v>
      </c>
      <c r="Z45" s="47">
        <v>4.7130000000000002E-3</v>
      </c>
      <c r="AA45" s="48">
        <v>591</v>
      </c>
      <c r="AB45" s="48">
        <v>834</v>
      </c>
      <c r="AC45">
        <f>S45*V45</f>
        <v>260.55</v>
      </c>
    </row>
    <row r="46" spans="2:29">
      <c r="B46" s="42" t="s">
        <v>111</v>
      </c>
      <c r="Q46" s="76" t="s">
        <v>132</v>
      </c>
      <c r="R46" s="77"/>
      <c r="S46" s="78">
        <v>193</v>
      </c>
      <c r="T46" s="79"/>
      <c r="U46" s="80"/>
      <c r="V46" s="83">
        <v>1.8</v>
      </c>
      <c r="W46" s="84"/>
      <c r="X46" s="45" t="s">
        <v>131</v>
      </c>
      <c r="Y46" s="46">
        <v>0.22203999999999999</v>
      </c>
      <c r="Z46" s="47">
        <v>6.2839999999999997E-3</v>
      </c>
      <c r="AA46" s="48">
        <v>788</v>
      </c>
      <c r="AB46" s="48">
        <v>1112</v>
      </c>
      <c r="AC46">
        <f t="shared" ref="AC46:AC57" si="0">S46*V46</f>
        <v>347.40000000000003</v>
      </c>
    </row>
    <row r="47" spans="2:29">
      <c r="B47" s="42" t="s">
        <v>112</v>
      </c>
      <c r="Q47" s="76" t="s">
        <v>133</v>
      </c>
      <c r="R47" s="77"/>
      <c r="S47" s="78">
        <v>233</v>
      </c>
      <c r="T47" s="79"/>
      <c r="U47" s="80"/>
      <c r="V47" s="81">
        <v>1.35</v>
      </c>
      <c r="W47" s="82"/>
      <c r="X47" s="45" t="s">
        <v>131</v>
      </c>
      <c r="Y47" s="46">
        <v>0.29300999999999999</v>
      </c>
      <c r="Z47" s="47">
        <v>8.2920000000000008E-3</v>
      </c>
      <c r="AA47" s="48">
        <v>1040</v>
      </c>
      <c r="AB47" s="48">
        <v>1468</v>
      </c>
      <c r="AC47">
        <f t="shared" si="0"/>
        <v>314.55</v>
      </c>
    </row>
    <row r="48" spans="2:29">
      <c r="B48" s="42" t="s">
        <v>113</v>
      </c>
      <c r="Q48" s="76" t="s">
        <v>134</v>
      </c>
      <c r="R48" s="77"/>
      <c r="S48" s="78">
        <v>233</v>
      </c>
      <c r="T48" s="79"/>
      <c r="U48" s="80"/>
      <c r="V48" s="83">
        <v>1.7</v>
      </c>
      <c r="W48" s="84"/>
      <c r="X48" s="45" t="s">
        <v>131</v>
      </c>
      <c r="Y48" s="46">
        <v>0.36897000000000002</v>
      </c>
      <c r="Z48" s="47">
        <v>1.0442E-2</v>
      </c>
      <c r="AA48" s="48">
        <v>1310</v>
      </c>
      <c r="AB48" s="48">
        <v>1848</v>
      </c>
      <c r="AC48">
        <f t="shared" si="0"/>
        <v>396.09999999999997</v>
      </c>
    </row>
    <row r="49" spans="2:29">
      <c r="B49" s="42" t="s">
        <v>114</v>
      </c>
      <c r="Q49" s="76" t="s">
        <v>135</v>
      </c>
      <c r="R49" s="77"/>
      <c r="S49" s="78">
        <v>233</v>
      </c>
      <c r="T49" s="79"/>
      <c r="U49" s="80"/>
      <c r="V49" s="83">
        <v>2.1</v>
      </c>
      <c r="W49" s="84"/>
      <c r="X49" s="45" t="s">
        <v>131</v>
      </c>
      <c r="Y49" s="46">
        <v>0.45579999999999998</v>
      </c>
      <c r="Z49" s="47">
        <v>1.2899000000000001E-2</v>
      </c>
      <c r="AA49" s="48">
        <v>1618</v>
      </c>
      <c r="AB49" s="48">
        <v>2283</v>
      </c>
      <c r="AC49">
        <f t="shared" si="0"/>
        <v>489.3</v>
      </c>
    </row>
    <row r="50" spans="2:29">
      <c r="B50" s="43" t="s">
        <v>115</v>
      </c>
      <c r="Q50" s="76" t="s">
        <v>136</v>
      </c>
      <c r="R50" s="77"/>
      <c r="S50" s="78">
        <v>283</v>
      </c>
      <c r="T50" s="79"/>
      <c r="U50" s="80"/>
      <c r="V50" s="81">
        <v>1.35</v>
      </c>
      <c r="W50" s="82"/>
      <c r="X50" s="45" t="s">
        <v>137</v>
      </c>
      <c r="Y50" s="46">
        <v>0.52500999999999998</v>
      </c>
      <c r="Z50" s="47">
        <v>1.4858E-2</v>
      </c>
      <c r="AA50" s="48">
        <v>1864</v>
      </c>
      <c r="AB50" s="48">
        <v>2630</v>
      </c>
      <c r="AC50">
        <f t="shared" si="0"/>
        <v>382.05</v>
      </c>
    </row>
    <row r="51" spans="2:29">
      <c r="B51" s="43" t="s">
        <v>116</v>
      </c>
      <c r="Q51" s="76" t="s">
        <v>138</v>
      </c>
      <c r="R51" s="77"/>
      <c r="S51" s="78">
        <v>283</v>
      </c>
      <c r="T51" s="79"/>
      <c r="U51" s="80"/>
      <c r="V51" s="83">
        <v>1.7</v>
      </c>
      <c r="W51" s="84"/>
      <c r="X51" s="45" t="s">
        <v>137</v>
      </c>
      <c r="Y51" s="46">
        <v>0.66115000000000002</v>
      </c>
      <c r="Z51" s="47">
        <v>1.8710999999999998E-2</v>
      </c>
      <c r="AA51" s="48">
        <v>2347</v>
      </c>
      <c r="AB51" s="48">
        <v>3312</v>
      </c>
      <c r="AC51">
        <f t="shared" si="0"/>
        <v>481.09999999999997</v>
      </c>
    </row>
    <row r="52" spans="2:29">
      <c r="B52" s="42" t="s">
        <v>117</v>
      </c>
      <c r="Q52" s="76" t="s">
        <v>139</v>
      </c>
      <c r="R52" s="77"/>
      <c r="S52" s="78">
        <v>283</v>
      </c>
      <c r="T52" s="79"/>
      <c r="U52" s="80"/>
      <c r="V52" s="83">
        <v>2.1</v>
      </c>
      <c r="W52" s="84"/>
      <c r="X52" s="45" t="s">
        <v>137</v>
      </c>
      <c r="Y52" s="46">
        <v>0.79545999999999994</v>
      </c>
      <c r="Z52" s="47">
        <v>2.2512000000000001E-2</v>
      </c>
      <c r="AA52" s="48">
        <v>2824</v>
      </c>
      <c r="AB52" s="48">
        <v>3985</v>
      </c>
      <c r="AC52">
        <f t="shared" si="0"/>
        <v>594.30000000000007</v>
      </c>
    </row>
    <row r="53" spans="2:29">
      <c r="B53" s="42" t="s">
        <v>118</v>
      </c>
      <c r="Q53" s="76" t="s">
        <v>140</v>
      </c>
      <c r="R53" s="77"/>
      <c r="S53" s="78">
        <v>283</v>
      </c>
      <c r="T53" s="79"/>
      <c r="U53" s="80"/>
      <c r="V53" s="83">
        <v>2.4</v>
      </c>
      <c r="W53" s="84"/>
      <c r="X53" s="45" t="s">
        <v>137</v>
      </c>
      <c r="Y53" s="46">
        <v>0.89858000000000005</v>
      </c>
      <c r="Z53" s="47">
        <v>2.5430000000000001E-2</v>
      </c>
      <c r="AA53" s="48">
        <v>3190</v>
      </c>
      <c r="AB53" s="48">
        <v>4501</v>
      </c>
      <c r="AC53">
        <f t="shared" si="0"/>
        <v>679.19999999999993</v>
      </c>
    </row>
    <row r="54" spans="2:29">
      <c r="B54" s="42" t="s">
        <v>119</v>
      </c>
      <c r="Q54" s="76" t="s">
        <v>141</v>
      </c>
      <c r="R54" s="77"/>
      <c r="S54" s="78">
        <v>355</v>
      </c>
      <c r="T54" s="79"/>
      <c r="U54" s="80"/>
      <c r="V54" s="83">
        <v>1.1000000000000001</v>
      </c>
      <c r="W54" s="84"/>
      <c r="X54" s="45" t="s">
        <v>137</v>
      </c>
      <c r="Y54" s="46">
        <v>0.82247999999999999</v>
      </c>
      <c r="Z54" s="47">
        <v>2.3276000000000002E-2</v>
      </c>
      <c r="AA54" s="48">
        <v>2920</v>
      </c>
      <c r="AB54" s="48">
        <v>4120</v>
      </c>
      <c r="AC54">
        <f t="shared" si="0"/>
        <v>390.50000000000006</v>
      </c>
    </row>
    <row r="55" spans="2:29">
      <c r="Q55" s="76" t="s">
        <v>142</v>
      </c>
      <c r="R55" s="77"/>
      <c r="S55" s="78">
        <v>355</v>
      </c>
      <c r="T55" s="79"/>
      <c r="U55" s="80"/>
      <c r="V55" s="83">
        <v>1.5</v>
      </c>
      <c r="W55" s="84"/>
      <c r="X55" s="45" t="s">
        <v>137</v>
      </c>
      <c r="Y55" s="46">
        <v>1.12154</v>
      </c>
      <c r="Z55" s="47">
        <v>3.1739000000000003E-2</v>
      </c>
      <c r="AA55" s="48">
        <v>3981</v>
      </c>
      <c r="AB55" s="48">
        <v>5618</v>
      </c>
      <c r="AC55">
        <f t="shared" si="0"/>
        <v>532.5</v>
      </c>
    </row>
    <row r="56" spans="2:29">
      <c r="Q56" s="76" t="s">
        <v>143</v>
      </c>
      <c r="R56" s="77"/>
      <c r="S56" s="78">
        <v>355</v>
      </c>
      <c r="T56" s="79"/>
      <c r="U56" s="80"/>
      <c r="V56" s="83">
        <v>1.9</v>
      </c>
      <c r="W56" s="84"/>
      <c r="X56" s="45" t="s">
        <v>137</v>
      </c>
      <c r="Y56" s="46">
        <v>1.4274800000000001</v>
      </c>
      <c r="Z56" s="47">
        <v>4.0398000000000003E-2</v>
      </c>
      <c r="AA56" s="48">
        <v>5068</v>
      </c>
      <c r="AB56" s="48">
        <v>7150</v>
      </c>
      <c r="AC56">
        <f t="shared" si="0"/>
        <v>674.5</v>
      </c>
    </row>
    <row r="57" spans="2:29">
      <c r="Q57" s="76" t="s">
        <v>144</v>
      </c>
      <c r="R57" s="77"/>
      <c r="S57" s="78">
        <v>355</v>
      </c>
      <c r="T57" s="79"/>
      <c r="U57" s="80"/>
      <c r="V57" s="83">
        <v>2.4</v>
      </c>
      <c r="W57" s="84"/>
      <c r="X57" s="45" t="s">
        <v>137</v>
      </c>
      <c r="Y57" s="46">
        <v>1.80328</v>
      </c>
      <c r="Z57" s="47">
        <v>5.1033000000000002E-2</v>
      </c>
      <c r="AA57" s="48">
        <v>6402</v>
      </c>
      <c r="AB57" s="48">
        <v>9033</v>
      </c>
      <c r="AC57">
        <f t="shared" si="0"/>
        <v>852</v>
      </c>
    </row>
    <row r="58" spans="2:29">
      <c r="AA58" s="49"/>
      <c r="AB58" s="49"/>
    </row>
  </sheetData>
  <mergeCells count="47">
    <mergeCell ref="Q57:R57"/>
    <mergeCell ref="S57:U57"/>
    <mergeCell ref="V57:W57"/>
    <mergeCell ref="Q55:R55"/>
    <mergeCell ref="S55:U55"/>
    <mergeCell ref="V55:W55"/>
    <mergeCell ref="Q56:R56"/>
    <mergeCell ref="S56:U56"/>
    <mergeCell ref="V56:W56"/>
    <mergeCell ref="Q53:R53"/>
    <mergeCell ref="S53:U53"/>
    <mergeCell ref="V53:W53"/>
    <mergeCell ref="Q54:R54"/>
    <mergeCell ref="S54:U54"/>
    <mergeCell ref="V54:W54"/>
    <mergeCell ref="Q51:R51"/>
    <mergeCell ref="S51:U51"/>
    <mergeCell ref="V51:W51"/>
    <mergeCell ref="Q52:R52"/>
    <mergeCell ref="S52:U52"/>
    <mergeCell ref="V52:W52"/>
    <mergeCell ref="Q49:R49"/>
    <mergeCell ref="S49:U49"/>
    <mergeCell ref="V49:W49"/>
    <mergeCell ref="Q50:R50"/>
    <mergeCell ref="S50:U50"/>
    <mergeCell ref="V50:W50"/>
    <mergeCell ref="Q47:R47"/>
    <mergeCell ref="S47:U47"/>
    <mergeCell ref="V47:W47"/>
    <mergeCell ref="Q48:R48"/>
    <mergeCell ref="S48:U48"/>
    <mergeCell ref="V48:W48"/>
    <mergeCell ref="Q45:R45"/>
    <mergeCell ref="S45:U45"/>
    <mergeCell ref="V45:W45"/>
    <mergeCell ref="Q46:R46"/>
    <mergeCell ref="S46:U46"/>
    <mergeCell ref="V46:W46"/>
    <mergeCell ref="Q42:AB42"/>
    <mergeCell ref="Q43:R44"/>
    <mergeCell ref="S43:U44"/>
    <mergeCell ref="V43:W44"/>
    <mergeCell ref="X43:X44"/>
    <mergeCell ref="Y43:Z43"/>
    <mergeCell ref="AA43:AA44"/>
    <mergeCell ref="AB43:AB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Q8:R23"/>
  <sheetViews>
    <sheetView topLeftCell="A16" workbookViewId="0">
      <selection activeCell="Q21" sqref="Q21"/>
    </sheetView>
  </sheetViews>
  <sheetFormatPr defaultRowHeight="12.75"/>
  <cols>
    <col min="1" max="16" width="9.33203125" style="1"/>
    <col min="17" max="17" width="20.5" style="1" bestFit="1" customWidth="1"/>
    <col min="18" max="16384" width="9.33203125" style="1"/>
  </cols>
  <sheetData>
    <row r="8" spans="17:18">
      <c r="R8" s="1">
        <f>20-5</f>
        <v>15</v>
      </c>
    </row>
    <row r="12" spans="17:18">
      <c r="Q12" s="1" t="s">
        <v>146</v>
      </c>
      <c r="R12" s="1">
        <v>699</v>
      </c>
    </row>
    <row r="13" spans="17:18">
      <c r="Q13" s="1" t="s">
        <v>148</v>
      </c>
      <c r="R13" s="1">
        <v>920</v>
      </c>
    </row>
    <row r="14" spans="17:18">
      <c r="Q14" s="1" t="s">
        <v>147</v>
      </c>
      <c r="R14" s="1">
        <v>1221</v>
      </c>
    </row>
    <row r="15" spans="17:18">
      <c r="Q15" s="1" t="s">
        <v>155</v>
      </c>
      <c r="R15" s="1">
        <v>1381</v>
      </c>
    </row>
    <row r="16" spans="17:18">
      <c r="Q16" s="1" t="s">
        <v>156</v>
      </c>
      <c r="R16" s="1">
        <v>1809</v>
      </c>
    </row>
    <row r="17" spans="17:18">
      <c r="Q17" s="1" t="s">
        <v>157</v>
      </c>
      <c r="R17" s="1">
        <v>2411</v>
      </c>
    </row>
    <row r="18" spans="17:18">
      <c r="Q18" s="1" t="s">
        <v>152</v>
      </c>
      <c r="R18" s="1">
        <v>2708</v>
      </c>
    </row>
    <row r="19" spans="17:18">
      <c r="Q19" s="1" t="s">
        <v>153</v>
      </c>
      <c r="R19" s="1">
        <v>3558</v>
      </c>
    </row>
    <row r="20" spans="17:18">
      <c r="Q20" s="1" t="s">
        <v>154</v>
      </c>
      <c r="R20" s="1">
        <v>4733</v>
      </c>
    </row>
    <row r="21" spans="17:18">
      <c r="Q21" s="1" t="s">
        <v>149</v>
      </c>
      <c r="R21" s="1">
        <v>5699</v>
      </c>
    </row>
    <row r="22" spans="17:18">
      <c r="Q22" s="1" t="s">
        <v>150</v>
      </c>
      <c r="R22" s="1">
        <v>7459</v>
      </c>
    </row>
    <row r="23" spans="17:18">
      <c r="Q23" s="1" t="s">
        <v>151</v>
      </c>
      <c r="R23" s="1">
        <v>9937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H1" workbookViewId="0">
      <selection activeCell="T35" sqref="T35"/>
    </sheetView>
  </sheetViews>
  <sheetFormatPr defaultRowHeight="12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22"/>
  <sheetViews>
    <sheetView tabSelected="1" zoomScale="130" zoomScaleNormal="130" workbookViewId="0">
      <pane xSplit="21930" topLeftCell="Z1"/>
      <selection activeCell="P18" sqref="P18"/>
      <selection pane="topRight" activeCell="AG19" sqref="AG19"/>
    </sheetView>
  </sheetViews>
  <sheetFormatPr defaultRowHeight="12.75"/>
  <cols>
    <col min="1" max="1" width="13.83203125" style="1" bestFit="1" customWidth="1"/>
    <col min="2" max="8" width="9.33203125" style="1"/>
    <col min="9" max="9" width="13.33203125" style="1" bestFit="1" customWidth="1"/>
    <col min="10" max="10" width="12.6640625" style="1" customWidth="1"/>
    <col min="11" max="16" width="9.33203125" style="1"/>
    <col min="17" max="17" width="9" style="1" customWidth="1"/>
    <col min="18" max="19" width="12.5" style="1" customWidth="1"/>
    <col min="20" max="20" width="5" style="1" customWidth="1"/>
    <col min="21" max="21" width="10.33203125" style="1" customWidth="1"/>
    <col min="22" max="22" width="12.5" style="1" customWidth="1"/>
    <col min="23" max="23" width="11.6640625" style="1" bestFit="1" customWidth="1"/>
    <col min="24" max="24" width="9.33203125" style="1"/>
    <col min="25" max="26" width="11.1640625" style="1" customWidth="1"/>
    <col min="27" max="27" width="3.6640625" style="1" customWidth="1"/>
    <col min="28" max="28" width="12.33203125" style="1" bestFit="1" customWidth="1"/>
    <col min="29" max="29" width="10" style="1" customWidth="1"/>
    <col min="30" max="31" width="5.6640625" style="1" bestFit="1" customWidth="1"/>
    <col min="32" max="16384" width="9.33203125" style="1"/>
  </cols>
  <sheetData>
    <row r="1" spans="1:35">
      <c r="A1" s="17" t="s">
        <v>71</v>
      </c>
      <c r="B1" s="1">
        <v>28.958600656000002</v>
      </c>
    </row>
    <row r="2" spans="1:35">
      <c r="A2" s="17"/>
    </row>
    <row r="3" spans="1:35">
      <c r="A3" s="17"/>
      <c r="AD3" s="16" t="s">
        <v>50</v>
      </c>
      <c r="AE3" s="16">
        <v>2.63</v>
      </c>
    </row>
    <row r="4" spans="1:35">
      <c r="A4" s="17"/>
      <c r="AD4" s="16" t="s">
        <v>51</v>
      </c>
      <c r="AE4" s="16">
        <v>3.65</v>
      </c>
    </row>
    <row r="5" spans="1:35">
      <c r="A5" s="17"/>
      <c r="AD5" s="16" t="s">
        <v>52</v>
      </c>
      <c r="AE5" s="16">
        <v>5.8</v>
      </c>
    </row>
    <row r="6" spans="1:35">
      <c r="A6" s="17"/>
    </row>
    <row r="7" spans="1:35">
      <c r="A7" s="17"/>
    </row>
    <row r="8" spans="1:35">
      <c r="A8" s="17"/>
    </row>
    <row r="9" spans="1:35" ht="25.5">
      <c r="A9" s="17" t="s">
        <v>72</v>
      </c>
      <c r="B9" s="1">
        <v>1.2758162153163073</v>
      </c>
      <c r="R9" s="94" t="s">
        <v>191</v>
      </c>
      <c r="S9" s="94"/>
      <c r="T9" s="94" t="s">
        <v>193</v>
      </c>
      <c r="Y9" s="94" t="s">
        <v>183</v>
      </c>
      <c r="Z9" s="94"/>
      <c r="AB9" s="39"/>
      <c r="AC9" s="39"/>
      <c r="AD9" s="39"/>
      <c r="AE9" s="39"/>
      <c r="AF9" s="39"/>
      <c r="AG9" s="39"/>
    </row>
    <row r="10" spans="1:35" ht="25.5">
      <c r="C10" s="86"/>
      <c r="D10" s="86"/>
      <c r="E10" s="86" t="s">
        <v>198</v>
      </c>
      <c r="F10" s="86" t="s">
        <v>199</v>
      </c>
      <c r="G10" s="86" t="s">
        <v>200</v>
      </c>
      <c r="H10" s="86" t="s">
        <v>201</v>
      </c>
      <c r="I10" s="87" t="s">
        <v>204</v>
      </c>
      <c r="J10" s="87" t="s">
        <v>205</v>
      </c>
      <c r="K10" s="89" t="s">
        <v>177</v>
      </c>
      <c r="L10" s="89" t="s">
        <v>178</v>
      </c>
      <c r="M10" s="89" t="s">
        <v>179</v>
      </c>
      <c r="N10" s="89" t="s">
        <v>180</v>
      </c>
      <c r="O10" s="89" t="s">
        <v>166</v>
      </c>
      <c r="P10" s="89" t="s">
        <v>165</v>
      </c>
      <c r="Q10" s="89" t="s">
        <v>167</v>
      </c>
      <c r="R10" s="89" t="s">
        <v>184</v>
      </c>
      <c r="S10" s="89" t="s">
        <v>185</v>
      </c>
      <c r="T10" s="94" t="s">
        <v>193</v>
      </c>
      <c r="U10" s="89" t="s">
        <v>181</v>
      </c>
      <c r="V10" s="89" t="s">
        <v>182</v>
      </c>
      <c r="W10" s="89" t="s">
        <v>170</v>
      </c>
      <c r="X10" s="89" t="s">
        <v>171</v>
      </c>
      <c r="Y10" s="89" t="s">
        <v>184</v>
      </c>
      <c r="Z10" s="89" t="s">
        <v>185</v>
      </c>
      <c r="AB10" s="91" t="s">
        <v>175</v>
      </c>
      <c r="AC10" s="91" t="s">
        <v>176</v>
      </c>
      <c r="AD10" s="91" t="s">
        <v>174</v>
      </c>
      <c r="AE10" s="91" t="s">
        <v>174</v>
      </c>
      <c r="AF10" s="91" t="s">
        <v>168</v>
      </c>
      <c r="AG10" s="91" t="s">
        <v>169</v>
      </c>
      <c r="AI10" s="1" t="s">
        <v>206</v>
      </c>
    </row>
    <row r="11" spans="1:35" ht="25.5">
      <c r="C11" s="90" t="s">
        <v>186</v>
      </c>
      <c r="D11" s="90" t="s">
        <v>202</v>
      </c>
      <c r="E11" s="95">
        <v>9.6</v>
      </c>
      <c r="F11" s="95">
        <v>28</v>
      </c>
      <c r="G11" s="95">
        <v>268</v>
      </c>
      <c r="H11" s="97">
        <v>0.245</v>
      </c>
      <c r="I11" s="98">
        <f>15.5*(E11)^0.23/100</f>
        <v>0.26076787129287671</v>
      </c>
      <c r="J11" s="99">
        <f>(300-4.5)/4.5/H11*E11</f>
        <v>2573.0612244897961</v>
      </c>
      <c r="K11" s="87">
        <v>312</v>
      </c>
      <c r="L11" s="87">
        <v>1.03</v>
      </c>
      <c r="M11" s="87">
        <v>5.2</v>
      </c>
      <c r="N11" s="87">
        <v>22</v>
      </c>
      <c r="O11" s="87">
        <v>496.3</v>
      </c>
      <c r="P11" s="87">
        <v>996.3</v>
      </c>
      <c r="Q11" s="100">
        <f>R11/S11</f>
        <v>2.5148973532166106</v>
      </c>
      <c r="R11" s="92">
        <f t="shared" ref="R11" si="0">O11/1000*3600/($B$9*L11*273.15/(K11)*4/$B$1)</f>
        <v>11243.263873016251</v>
      </c>
      <c r="S11" s="92">
        <f t="shared" ref="S11" si="1">P11/1000*3600/($B$9*M11*273.15/(K11)*4/$B$1)</f>
        <v>4470.6651182545729</v>
      </c>
      <c r="T11" s="94" t="s">
        <v>193</v>
      </c>
      <c r="U11" s="93">
        <v>0.8</v>
      </c>
      <c r="V11" s="93">
        <v>0.75</v>
      </c>
      <c r="W11" s="87">
        <v>2</v>
      </c>
      <c r="X11" s="87">
        <v>2</v>
      </c>
      <c r="Y11" s="92">
        <f t="shared" ref="Y11" si="2">R11/W11/U11</f>
        <v>7027.0399206351567</v>
      </c>
      <c r="Z11" s="92">
        <f t="shared" ref="Z11" si="3">S11/X11/V11</f>
        <v>2980.4434121697154</v>
      </c>
      <c r="AB11" s="88" t="s">
        <v>187</v>
      </c>
      <c r="AC11" s="88" t="s">
        <v>188</v>
      </c>
      <c r="AD11" s="88"/>
      <c r="AE11" s="88"/>
      <c r="AF11" s="88"/>
      <c r="AG11" s="88"/>
      <c r="AI11" s="1">
        <f>135057+30821+162517+40877</f>
        <v>369272</v>
      </c>
    </row>
    <row r="12" spans="1:35" ht="25.5">
      <c r="C12" s="90" t="s">
        <v>164</v>
      </c>
      <c r="D12" s="90"/>
      <c r="E12" s="90"/>
      <c r="F12" s="90"/>
      <c r="G12" s="90"/>
      <c r="H12" s="90"/>
      <c r="I12" s="90"/>
      <c r="J12" s="90"/>
      <c r="K12" s="87">
        <v>318</v>
      </c>
      <c r="L12" s="87">
        <v>1.071</v>
      </c>
      <c r="M12" s="87">
        <v>3.9569999999999999</v>
      </c>
      <c r="N12" s="87">
        <v>20.62</v>
      </c>
      <c r="O12" s="87">
        <v>463.1</v>
      </c>
      <c r="P12" s="87">
        <v>1547</v>
      </c>
      <c r="Q12" s="100">
        <f t="shared" ref="Q12:Q15" si="4">R12/S12</f>
        <v>1.1060150757135432</v>
      </c>
      <c r="R12" s="92">
        <f>O12/1000*3600/($B$9*L12*273.15/(K12)*4/$B$1)</f>
        <v>10283.552961267214</v>
      </c>
      <c r="S12" s="92">
        <f>P12/1000*3600/($B$9*M12*273.15/(K12)*4/$B$1)</f>
        <v>9297.8415819809725</v>
      </c>
      <c r="T12" s="94" t="s">
        <v>193</v>
      </c>
      <c r="U12" s="93">
        <v>0.8</v>
      </c>
      <c r="V12" s="93">
        <v>0.75</v>
      </c>
      <c r="W12" s="87">
        <v>2</v>
      </c>
      <c r="X12" s="87">
        <v>2</v>
      </c>
      <c r="Y12" s="92">
        <f>R12/W12/U12</f>
        <v>6427.2206007920086</v>
      </c>
      <c r="Z12" s="92">
        <f>S12/X12/V12</f>
        <v>6198.561054653982</v>
      </c>
      <c r="AB12" s="88" t="s">
        <v>172</v>
      </c>
      <c r="AC12" s="88" t="s">
        <v>173</v>
      </c>
      <c r="AD12" s="88">
        <v>2985</v>
      </c>
      <c r="AE12" s="88">
        <v>2975</v>
      </c>
      <c r="AF12" s="88">
        <v>8027</v>
      </c>
      <c r="AG12" s="88">
        <v>6463</v>
      </c>
      <c r="AH12" s="85"/>
      <c r="AI12" s="85"/>
    </row>
    <row r="13" spans="1:35">
      <c r="C13" s="90" t="s">
        <v>194</v>
      </c>
      <c r="D13" s="90"/>
      <c r="E13" s="90"/>
      <c r="F13" s="90"/>
      <c r="G13" s="96"/>
      <c r="H13" s="90"/>
      <c r="I13" s="90"/>
      <c r="J13" s="90"/>
      <c r="K13" s="87">
        <v>320.5</v>
      </c>
      <c r="L13" s="87">
        <v>1.05</v>
      </c>
      <c r="M13" s="87">
        <v>4.8250000000000002</v>
      </c>
      <c r="N13" s="87">
        <v>21</v>
      </c>
      <c r="O13" s="87">
        <v>886.5</v>
      </c>
      <c r="P13" s="87">
        <v>4067</v>
      </c>
      <c r="Q13" s="100">
        <f t="shared" si="4"/>
        <v>1.0016421370613648</v>
      </c>
      <c r="R13" s="92">
        <f t="shared" ref="R13" si="5">O13/1000*3600/($B$9*L13*273.15/(K13)*4/$B$1)</f>
        <v>20237.097945893838</v>
      </c>
      <c r="S13" s="92">
        <f t="shared" ref="S13" si="6">P13/1000*3600/($B$9*M13*273.15/(K13)*4/$B$1)</f>
        <v>20203.920339519449</v>
      </c>
      <c r="T13" s="94" t="s">
        <v>193</v>
      </c>
      <c r="U13" s="93">
        <v>0.8</v>
      </c>
      <c r="V13" s="93">
        <v>0.75</v>
      </c>
      <c r="W13" s="87">
        <v>2</v>
      </c>
      <c r="X13" s="87">
        <v>2</v>
      </c>
      <c r="Y13" s="92">
        <f t="shared" ref="Y13" si="7">R13/W13/U13</f>
        <v>12648.186216183649</v>
      </c>
      <c r="Z13" s="92">
        <f t="shared" ref="Z13" si="8">S13/X13/V13</f>
        <v>13469.2802263463</v>
      </c>
    </row>
    <row r="14" spans="1:35">
      <c r="C14" s="90" t="s">
        <v>192</v>
      </c>
      <c r="D14" s="90"/>
      <c r="E14" s="90"/>
      <c r="F14" s="90"/>
      <c r="G14" s="90"/>
      <c r="H14" s="90"/>
      <c r="I14" s="90"/>
      <c r="J14" s="90"/>
      <c r="K14" s="87">
        <v>320</v>
      </c>
      <c r="L14" s="87">
        <v>1.05</v>
      </c>
      <c r="M14" s="87">
        <v>4.8250000000000002</v>
      </c>
      <c r="N14" s="87">
        <v>21</v>
      </c>
      <c r="O14" s="87">
        <v>254.3</v>
      </c>
      <c r="P14" s="87">
        <v>1243</v>
      </c>
      <c r="Q14" s="100">
        <f t="shared" si="4"/>
        <v>0.9401199095889361</v>
      </c>
      <c r="R14" s="92">
        <f>O14/1000*3600/($B$9*L14*273.15/(K14)*4/$B$1)</f>
        <v>5796.125739252444</v>
      </c>
      <c r="S14" s="92">
        <f>P14/1000*3600/($B$9*M14*273.15/(K14)*4/$B$1)</f>
        <v>6165.3047447817353</v>
      </c>
      <c r="T14" s="94" t="s">
        <v>193</v>
      </c>
      <c r="U14" s="93">
        <v>0.8</v>
      </c>
      <c r="V14" s="93">
        <v>0.75</v>
      </c>
      <c r="W14" s="87">
        <v>2</v>
      </c>
      <c r="X14" s="87">
        <v>2</v>
      </c>
      <c r="Y14" s="92">
        <f>R14/W14/U14</f>
        <v>3622.5785870327772</v>
      </c>
      <c r="Z14" s="92">
        <f>S14/X14/V14</f>
        <v>4110.2031631878235</v>
      </c>
    </row>
    <row r="15" spans="1:35">
      <c r="C15" s="90" t="s">
        <v>190</v>
      </c>
      <c r="D15" s="90"/>
      <c r="E15" s="90"/>
      <c r="F15" s="90"/>
      <c r="G15" s="90"/>
      <c r="H15" s="90"/>
      <c r="I15" s="90"/>
      <c r="J15" s="90"/>
      <c r="K15" s="87">
        <v>311</v>
      </c>
      <c r="L15" s="87">
        <v>1.05</v>
      </c>
      <c r="M15" s="87">
        <v>4</v>
      </c>
      <c r="N15" s="87">
        <v>16</v>
      </c>
      <c r="O15" s="87">
        <v>424.2</v>
      </c>
      <c r="P15" s="87">
        <v>1034</v>
      </c>
      <c r="Q15" s="100">
        <f t="shared" si="4"/>
        <v>1.562862669245648</v>
      </c>
      <c r="R15" s="92">
        <f>O15/1000*3600/($B$9*L15*273.15/(K15)*4/$B$1)</f>
        <v>9396.6383639127707</v>
      </c>
      <c r="S15" s="92">
        <f>P15/1000*3600/($B$9*M15*273.15/(K15)*4/$B$1)</f>
        <v>6012.4530125530973</v>
      </c>
      <c r="T15" s="94" t="s">
        <v>193</v>
      </c>
      <c r="U15" s="93">
        <v>0.8</v>
      </c>
      <c r="V15" s="93">
        <v>0.75</v>
      </c>
      <c r="W15" s="87">
        <v>2</v>
      </c>
      <c r="X15" s="87">
        <v>2</v>
      </c>
      <c r="Y15" s="92">
        <f>R15/W15/U15</f>
        <v>5872.8989774454813</v>
      </c>
      <c r="Z15" s="92">
        <f>S15/X15/V15</f>
        <v>4008.3020083687315</v>
      </c>
    </row>
    <row r="16" spans="1:35">
      <c r="C16" s="90"/>
      <c r="D16" s="90"/>
      <c r="E16" s="90"/>
      <c r="F16" s="90"/>
      <c r="G16" s="90"/>
      <c r="H16" s="90"/>
      <c r="I16" s="90"/>
      <c r="J16" s="90"/>
      <c r="K16" s="87"/>
      <c r="L16" s="87"/>
      <c r="M16" s="87"/>
      <c r="N16" s="87"/>
      <c r="O16" s="87"/>
      <c r="P16" s="87"/>
      <c r="Q16" s="101"/>
      <c r="R16" s="92"/>
      <c r="S16" s="92"/>
      <c r="T16" s="94"/>
      <c r="U16" s="93"/>
      <c r="V16" s="93"/>
      <c r="W16" s="87"/>
      <c r="X16" s="87"/>
      <c r="Y16" s="92"/>
      <c r="Z16" s="92"/>
    </row>
    <row r="17" spans="3:26">
      <c r="C17" s="90" t="s">
        <v>195</v>
      </c>
      <c r="D17" s="90" t="s">
        <v>203</v>
      </c>
      <c r="E17" s="90"/>
      <c r="F17" s="90"/>
      <c r="G17" s="90"/>
      <c r="H17" s="90"/>
      <c r="I17" s="90"/>
      <c r="J17" s="90"/>
      <c r="K17" s="87">
        <v>297</v>
      </c>
      <c r="L17" s="87">
        <v>3.4</v>
      </c>
      <c r="M17" s="87">
        <v>20</v>
      </c>
      <c r="N17" s="87"/>
      <c r="O17" s="87">
        <v>1196</v>
      </c>
      <c r="P17" s="87"/>
      <c r="Q17" s="101"/>
      <c r="R17" s="92">
        <f t="shared" ref="R17" si="9">O17/1000*3600/($B$9*L17*273.15/(K17)*4/$B$1)</f>
        <v>7813.3894329875629</v>
      </c>
      <c r="S17" s="92">
        <f t="shared" ref="S17" si="10">P17/1000*3600/($B$9*M17*273.15/(K17)*4/$B$1)</f>
        <v>0</v>
      </c>
      <c r="T17" s="94" t="s">
        <v>193</v>
      </c>
      <c r="U17" s="93">
        <v>0.8</v>
      </c>
      <c r="V17" s="93">
        <v>0.75</v>
      </c>
      <c r="W17" s="87">
        <v>2</v>
      </c>
      <c r="X17" s="87">
        <v>2</v>
      </c>
      <c r="Y17" s="92">
        <f t="shared" ref="Y17" si="11">R17/W17/U17</f>
        <v>4883.3683956172263</v>
      </c>
      <c r="Z17" s="92">
        <f t="shared" ref="Z17" si="12">S17/X17/V17</f>
        <v>0</v>
      </c>
    </row>
    <row r="18" spans="3:26" ht="25.5">
      <c r="C18" s="90" t="s">
        <v>196</v>
      </c>
      <c r="D18" s="90"/>
      <c r="E18" s="90"/>
      <c r="F18" s="90"/>
      <c r="G18" s="90"/>
      <c r="H18" s="90"/>
      <c r="I18" s="90"/>
      <c r="J18" s="90"/>
      <c r="K18" s="87">
        <v>307.8</v>
      </c>
      <c r="L18" s="87">
        <v>1.04</v>
      </c>
      <c r="M18" s="87">
        <v>4.3</v>
      </c>
      <c r="N18" s="87">
        <v>17.600000000000001</v>
      </c>
      <c r="O18" s="87">
        <v>570.70000000000005</v>
      </c>
      <c r="P18" s="87">
        <v>977.7</v>
      </c>
      <c r="Q18" s="100">
        <f t="shared" ref="Q18" si="13">R18/S18</f>
        <v>2.4134448194742766</v>
      </c>
      <c r="R18" s="92">
        <f t="shared" ref="R18" si="14">O18/1000*3600/($B$9*L18*273.15/(K18)*4/$B$1)</f>
        <v>12632.052083794515</v>
      </c>
      <c r="S18" s="92">
        <f t="shared" ref="S18" si="15">P18/1000*3600/($B$9*M18*273.15/(K18)*4/$B$1)</f>
        <v>5234.0339343437608</v>
      </c>
      <c r="T18" s="94" t="s">
        <v>193</v>
      </c>
      <c r="U18" s="93">
        <v>0.8</v>
      </c>
      <c r="V18" s="93">
        <v>0.75</v>
      </c>
      <c r="W18" s="87">
        <v>2</v>
      </c>
      <c r="X18" s="87">
        <v>2</v>
      </c>
      <c r="Y18" s="92">
        <f t="shared" ref="Y18" si="16">R18/W18/U18</f>
        <v>7895.0325523715719</v>
      </c>
      <c r="Z18" s="92">
        <f t="shared" ref="Z18" si="17">S18/X18/V18</f>
        <v>3489.3559562291739</v>
      </c>
    </row>
    <row r="22" spans="3:26">
      <c r="C22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Howden</vt:lpstr>
      <vt:lpstr>MYCOM</vt:lpstr>
      <vt:lpstr>GEA</vt:lpstr>
      <vt:lpstr>Frick</vt:lpstr>
      <vt:lpstr>Aerzen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HELOIN, Vincent</dc:creator>
  <cp:lastModifiedBy>Vincent Heloin</cp:lastModifiedBy>
  <dcterms:created xsi:type="dcterms:W3CDTF">2015-03-13T16:06:03Z</dcterms:created>
  <dcterms:modified xsi:type="dcterms:W3CDTF">2015-04-16T11:59:51Z</dcterms:modified>
</cp:coreProperties>
</file>