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5" windowWidth="10005" windowHeight="7005"/>
  </bookViews>
  <sheets>
    <sheet name="Summary" sheetId="5" r:id="rId1"/>
    <sheet name="Howden" sheetId="2" r:id="rId2"/>
    <sheet name="MYCOM" sheetId="4" r:id="rId3"/>
    <sheet name="comp efficiencies" sheetId="12" r:id="rId4"/>
    <sheet name="GEA" sheetId="6" r:id="rId5"/>
    <sheet name="Frick" sheetId="7" r:id="rId6"/>
    <sheet name="Aerzen" sheetId="8" r:id="rId7"/>
    <sheet name="Sheet1" sheetId="9" r:id="rId8"/>
    <sheet name="Sheet2" sheetId="10" r:id="rId9"/>
    <sheet name="Sheet3" sheetId="11" r:id="rId10"/>
  </sheets>
  <externalReferences>
    <externalReference r:id="rId11"/>
  </externalReferences>
  <definedNames>
    <definedName name="__X">[1]AUX!$E$1:$E$2</definedName>
    <definedName name="_cT_Comp">OFFSET([1]ExergyData!$O$2,0,0,COUNTA([1]ExergyData!$O:$O)-1)</definedName>
    <definedName name="_cT_cond_u">[1]AUX!$Y$2:$Y$7</definedName>
    <definedName name="_cT_Cooler">OFFSET([1]ExergyData!$S$2,0,0,COUNTA([1]ExergyData!$S:$S)-1)</definedName>
    <definedName name="_cT_cp_u">[1]AUX!$O$2:$O$20</definedName>
    <definedName name="_cT_cpmol_u">[1]AUX!$T$2:$T$22</definedName>
    <definedName name="_cT_Dp_u">[1]AUX!$J$2:$J$18</definedName>
    <definedName name="_cT_Duty_u">[1]AUX!$K$2:$K$26</definedName>
    <definedName name="_cT_dvisc_u">[1]AUX!$W$2:$W$11</definedName>
    <definedName name="_cT_Energy">OFFSET([1]ExergyData!$I$2,0,0,COUNTA([1]ExergyData!$I:$I)-1)</definedName>
    <definedName name="_cT_ExType">[1]AUX!$G$1:$G$4</definedName>
    <definedName name="_cT_h_u">[1]AUX!$M$2:$M$11</definedName>
    <definedName name="_cT_Heater">OFFSET([1]ExergyData!$U$2,0,0,COUNTA([1]ExergyData!$U:$U)-1)</definedName>
    <definedName name="_cT_hmol_u">[1]AUX!$R$2:$R$18</definedName>
    <definedName name="_cT_kvisc_u">[1]AUX!$X$2:$X$3</definedName>
    <definedName name="_cT_LineStyle">[1]AUX!$B$1:$B$8</definedName>
    <definedName name="_cT_LNG">OFFSET([1]ExergyData!$K$2,0,0,COUNTA([1]ExergyData!$K:$K)-1)</definedName>
    <definedName name="_cT_Mixer">OFFSET([1]ExergyData!$Y$2,0,0,COUNTA([1]ExergyData!$Y:$Y)-1)</definedName>
    <definedName name="_cT_Obj">OFFSET([1]ExergyData!$B$2,0,0,COUNTA([1]ExergyData!$B:$B)-1)</definedName>
    <definedName name="_cT_Obj_Type">OFFSET([1]ExergyData!$A$2,0,0,COUNTA([1]ExergyData!$A:$A)-1)</definedName>
    <definedName name="_cT_p_u">[1]AUX!$I$2:$I$34</definedName>
    <definedName name="_cT_Pipe">OFFSET([1]ExergyData!$Q$2,0,0,COUNTA([1]ExergyData!$Q:$Q)-1)</definedName>
    <definedName name="_cT_q_u">[1]AUX!$L$2:$L$23</definedName>
    <definedName name="_cT_qmol_u">[1]AUX!$Q$2:$Q$20</definedName>
    <definedName name="_cT_qVol_u">[1]AUX!$V$2:$V$25</definedName>
    <definedName name="_cT_rho_u">[1]AUX!$P$2:$P$10</definedName>
    <definedName name="_cT_rhomol_u">[1]AUX!$U$2:$U$7</definedName>
    <definedName name="_cT_s_u">[1]AUX!$N$2:$N$20</definedName>
    <definedName name="_cT_smol_u">[1]AUX!$S$2:$S$22</definedName>
    <definedName name="_cT_Streams">OFFSET([1]ExergyData!$D$2,0,0,COUNTA([1]ExergyData!$D:$D)-1)</definedName>
    <definedName name="_cT_SysIN">OFFSET([1]ExergyData!$AC$2,0,0,COUNTA([1]ExergyData!$AC:$AC)-1)</definedName>
    <definedName name="_cT_SysOUT">OFFSET([1]ExergyData!$AE$2,0,0,COUNTA([1]ExergyData!$AE:$AE)-1)</definedName>
    <definedName name="_cT_T_u">[1]AUX!$H$2:$H$5</definedName>
    <definedName name="_cT_Tank">OFFSET([1]ExergyData!$AA$2,0,0,COUNTA([1]ExergyData!$AA:$AA)-1)</definedName>
    <definedName name="_cT_Turb">OFFSET([1]ExergyData!$M$2,0,0,COUNTA([1]ExergyData!$M:$M)-1)</definedName>
    <definedName name="_cT_Valve">OFFSET([1]ExergyData!$W$2,0,0,COUNTA([1]ExergyData!$W:$W)-1)</definedName>
    <definedName name="_Eff_WW_Real">[1]Main!$H$17</definedName>
    <definedName name="_ExInv">[1]Main!$H$3</definedName>
    <definedName name="_ExUse">[1]Main!$H$4</definedName>
    <definedName name="_p_u">[1]Main!$C$33</definedName>
    <definedName name="_Pow_u">[1]Main!$C$35</definedName>
    <definedName name="_q_u">[1]Main!$C$36</definedName>
    <definedName name="_T_u">[1]Main!$C$31</definedName>
    <definedName name="_TRef">[1]Main!$D$5</definedName>
    <definedName name="_TRefCold">[1]Main!$D$6</definedName>
    <definedName name="_TS_CompInput">'[1]TS Setup'!$DA$5,'[1]TS Setup'!$DE$5,'[1]TS Setup'!$DI$5,'[1]TS Setup'!$DM$5,'[1]TS Setup'!$DU$5</definedName>
    <definedName name="_TS_Tmin">'[1]TS Setup'!$A$12</definedName>
    <definedName name="_TS_TurbInput">'[1]TS Setup'!$BK$5,'[1]TS Setup'!$BO$5,'[1]TS Setup'!$BS$5,'[1]TS Setup'!$BW$5,'[1]TS Setup'!$CA$5,'[1]TS Setup'!$CE$5,'[1]TS Setup'!$CI$5,'[1]TS Setup'!$CM$5,'[1]TS Setup'!$CQ$5,'[1]TS Setup'!$CU$5</definedName>
    <definedName name="_TS_ValveInput">'[1]TS Setup'!$BK$44,'[1]TS Setup'!$BO$44,'[1]TS Setup'!$BS$44,'[1]TS Setup'!$BW$44,'[1]TS Setup'!$CA$44,'[1]TS Setup'!$CE$44,'[1]TS Setup'!$CI$44,'[1]TS Setup'!$CM$44,'[1]TS Setup'!$CQ$44,'[1]TS Setup'!$CU$44</definedName>
    <definedName name="_TSData">OFFSET([1]ExergyData!$G$2,0,0,COUNTA([1]ExergyData!$G:$G),2)</definedName>
    <definedName name="_UsefulPower">[1]Main!$G$15</definedName>
    <definedName name="_WpW">[1]Main!$B$8</definedName>
    <definedName name="_YN">[1]AUX!$A$1:$A$2</definedName>
    <definedName name="CurFileName">#REF!</definedName>
    <definedName name="IsoT_LPL_MP">'comp efficiencies'!$B$9:$B$26</definedName>
    <definedName name="IsoT_LPR_MP">'comp efficiencies'!$C$9:$C$26</definedName>
    <definedName name="IsoT_MP_HP">'comp efficiencies'!$D$9:$D$26</definedName>
    <definedName name="IsoT_ratio">'comp efficiencies'!$A$9:$A$26</definedName>
    <definedName name="_xlnm.Print_Area" localSheetId="3">'comp efficiencies'!$A$1:$Z$49</definedName>
  </definedNames>
  <calcPr calcId="125725"/>
</workbook>
</file>

<file path=xl/calcChain.xml><?xml version="1.0" encoding="utf-8"?>
<calcChain xmlns="http://schemas.openxmlformats.org/spreadsheetml/2006/main">
  <c r="O11" i="5"/>
  <c r="L11"/>
  <c r="O10"/>
  <c r="L10"/>
  <c r="A48" i="12"/>
  <c r="A46"/>
  <c r="A44"/>
  <c r="A42"/>
  <c r="A40"/>
  <c r="A38"/>
  <c r="A36"/>
  <c r="A34"/>
  <c r="A32"/>
  <c r="A26"/>
  <c r="A24"/>
  <c r="A22"/>
  <c r="A20"/>
  <c r="A18"/>
  <c r="A16"/>
  <c r="A14"/>
  <c r="A12"/>
  <c r="A10"/>
  <c r="N4"/>
  <c r="Q4" s="1"/>
  <c r="M4"/>
  <c r="O4" s="1"/>
  <c r="R4" s="1"/>
  <c r="L4"/>
  <c r="K4"/>
  <c r="J4"/>
  <c r="H4"/>
  <c r="L3"/>
  <c r="M3" s="1"/>
  <c r="K3"/>
  <c r="J3"/>
  <c r="B3"/>
  <c r="N2"/>
  <c r="Q2" s="1"/>
  <c r="M2"/>
  <c r="O2" s="1"/>
  <c r="R2" s="1"/>
  <c r="L2"/>
  <c r="K2"/>
  <c r="G4" s="1"/>
  <c r="G5" s="1"/>
  <c r="J2"/>
  <c r="F2"/>
  <c r="G3" s="1"/>
  <c r="O12" i="5"/>
  <c r="L12"/>
  <c r="B5" i="12"/>
  <c r="D5"/>
  <c r="C5"/>
  <c r="O3" l="1"/>
  <c r="R3" s="1"/>
  <c r="N3"/>
  <c r="Q3" s="1"/>
  <c r="H5"/>
  <c r="E27" i="5" l="1"/>
  <c r="J27"/>
  <c r="I27"/>
  <c r="E29"/>
  <c r="J29"/>
  <c r="I29"/>
  <c r="I18" l="1"/>
  <c r="J18"/>
  <c r="I19"/>
  <c r="J19"/>
  <c r="I20"/>
  <c r="J20"/>
  <c r="I21"/>
  <c r="J21"/>
  <c r="I22"/>
  <c r="J22"/>
  <c r="I23"/>
  <c r="J23"/>
  <c r="I24"/>
  <c r="J24"/>
  <c r="I25"/>
  <c r="J25"/>
  <c r="I26"/>
  <c r="J26"/>
  <c r="I28"/>
  <c r="J28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J17"/>
  <c r="I17"/>
  <c r="O3"/>
  <c r="L3"/>
  <c r="S12" i="10"/>
  <c r="Z12" s="1"/>
  <c r="R12"/>
  <c r="Y12" s="1"/>
  <c r="Q12"/>
  <c r="J4"/>
  <c r="I4"/>
  <c r="Q11"/>
  <c r="S11"/>
  <c r="Z11" s="1"/>
  <c r="R11"/>
  <c r="Y11" s="1"/>
  <c r="S10"/>
  <c r="Z10" s="1"/>
  <c r="R10"/>
  <c r="Y10" s="1"/>
  <c r="S6"/>
  <c r="Z6" s="1"/>
  <c r="R6"/>
  <c r="Y6" s="1"/>
  <c r="Q6"/>
  <c r="S7"/>
  <c r="Z7" s="1"/>
  <c r="R7"/>
  <c r="Y7" s="1"/>
  <c r="S8"/>
  <c r="Z8" s="1"/>
  <c r="R8"/>
  <c r="Y8" s="1"/>
  <c r="S4"/>
  <c r="Z4" s="1"/>
  <c r="R4"/>
  <c r="Y4" s="1"/>
  <c r="S5"/>
  <c r="Z5" s="1"/>
  <c r="AI5" s="1"/>
  <c r="Y5"/>
  <c r="R5"/>
  <c r="Q7"/>
  <c r="Q8"/>
  <c r="AH5"/>
  <c r="Q4"/>
  <c r="Q5"/>
  <c r="AE6" i="5"/>
  <c r="AE7" s="1"/>
  <c r="AE11"/>
  <c r="AF11" s="1"/>
  <c r="AC17"/>
  <c r="AD14"/>
  <c r="AE14" s="1"/>
  <c r="AA11"/>
  <c r="AB11" s="1"/>
  <c r="AA6"/>
  <c r="AA7" s="1"/>
  <c r="S8"/>
  <c r="R8"/>
  <c r="Q8"/>
  <c r="Q9" s="1"/>
  <c r="L13"/>
  <c r="R13"/>
  <c r="S13" s="1"/>
  <c r="R14"/>
  <c r="S14" s="1"/>
  <c r="L1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34"/>
  <c r="C22" i="2"/>
  <c r="C21"/>
  <c r="C20"/>
  <c r="C19"/>
  <c r="C18"/>
  <c r="C17"/>
  <c r="C16"/>
  <c r="C15"/>
  <c r="C14"/>
  <c r="C13"/>
  <c r="C12"/>
  <c r="C11"/>
  <c r="C10"/>
  <c r="C9"/>
  <c r="C8"/>
  <c r="C7"/>
  <c r="C3"/>
  <c r="C23"/>
  <c r="M2"/>
  <c r="AB5" i="5" l="1"/>
  <c r="AF5"/>
  <c r="E103"/>
  <c r="E102"/>
  <c r="E101"/>
  <c r="E100"/>
  <c r="E99"/>
  <c r="E98"/>
  <c r="E97"/>
  <c r="E96"/>
  <c r="E95"/>
  <c r="E94"/>
  <c r="E93"/>
  <c r="E92"/>
  <c r="G103"/>
  <c r="G102"/>
  <c r="G101"/>
  <c r="G100"/>
  <c r="G99"/>
  <c r="G98"/>
  <c r="G97"/>
  <c r="G96"/>
  <c r="G95"/>
  <c r="G94"/>
  <c r="G93"/>
  <c r="G92"/>
  <c r="R8" i="8"/>
  <c r="G80" i="5"/>
  <c r="G81"/>
  <c r="G82"/>
  <c r="G83"/>
  <c r="G84"/>
  <c r="G85"/>
  <c r="G86"/>
  <c r="G87"/>
  <c r="G88"/>
  <c r="G89"/>
  <c r="G90"/>
  <c r="G91"/>
  <c r="G79"/>
  <c r="E80"/>
  <c r="E81"/>
  <c r="E82"/>
  <c r="E83"/>
  <c r="E84"/>
  <c r="E85"/>
  <c r="E86"/>
  <c r="E87"/>
  <c r="E88"/>
  <c r="E89"/>
  <c r="E90"/>
  <c r="E91"/>
  <c r="E79"/>
  <c r="AC46" i="7"/>
  <c r="AC47"/>
  <c r="AC48"/>
  <c r="AC49"/>
  <c r="AC50"/>
  <c r="AC51"/>
  <c r="AC52"/>
  <c r="AC53"/>
  <c r="AC54"/>
  <c r="AC55"/>
  <c r="AC56"/>
  <c r="AC57"/>
  <c r="AC45"/>
  <c r="F33" i="5"/>
  <c r="F18"/>
  <c r="F19"/>
  <c r="F20"/>
  <c r="F21"/>
  <c r="F22"/>
  <c r="F23"/>
  <c r="F24"/>
  <c r="F25"/>
  <c r="F26"/>
  <c r="F28"/>
  <c r="F30"/>
  <c r="F31"/>
  <c r="F32"/>
  <c r="F17"/>
  <c r="L7"/>
  <c r="L8" s="1"/>
  <c r="G66"/>
  <c r="G67"/>
  <c r="G68"/>
  <c r="G69"/>
  <c r="G70"/>
  <c r="G71"/>
  <c r="G72"/>
  <c r="G73"/>
  <c r="G74"/>
  <c r="G75"/>
  <c r="G76"/>
  <c r="G77"/>
  <c r="G78"/>
  <c r="G65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34"/>
  <c r="O6"/>
  <c r="F15"/>
  <c r="K16" s="1"/>
  <c r="E15"/>
  <c r="K100" l="1"/>
  <c r="K27"/>
  <c r="K29"/>
  <c r="AF6"/>
  <c r="AF7" s="1"/>
  <c r="AB6"/>
  <c r="AB7" s="1"/>
  <c r="O14"/>
  <c r="V8"/>
  <c r="T8"/>
  <c r="U8"/>
  <c r="K77"/>
  <c r="L77" s="1"/>
  <c r="M77" s="1"/>
  <c r="K73"/>
  <c r="L73" s="1"/>
  <c r="M73" s="1"/>
  <c r="K69"/>
  <c r="L69" s="1"/>
  <c r="M69" s="1"/>
  <c r="K80"/>
  <c r="L80" s="1"/>
  <c r="M80" s="1"/>
  <c r="K84"/>
  <c r="L84" s="1"/>
  <c r="M84" s="1"/>
  <c r="K88"/>
  <c r="K95"/>
  <c r="L95" s="1"/>
  <c r="M95" s="1"/>
  <c r="K99"/>
  <c r="L99" s="1"/>
  <c r="M99" s="1"/>
  <c r="K103"/>
  <c r="L103" s="1"/>
  <c r="M103" s="1"/>
  <c r="K78"/>
  <c r="K74"/>
  <c r="L74" s="1"/>
  <c r="M74" s="1"/>
  <c r="K70"/>
  <c r="L70" s="1"/>
  <c r="M70" s="1"/>
  <c r="K66"/>
  <c r="K31"/>
  <c r="A31" s="1"/>
  <c r="K25"/>
  <c r="A25" s="1"/>
  <c r="K21"/>
  <c r="A21" s="1"/>
  <c r="K33"/>
  <c r="A33" s="1"/>
  <c r="K79"/>
  <c r="L79" s="1"/>
  <c r="M79" s="1"/>
  <c r="K83"/>
  <c r="L83" s="1"/>
  <c r="M83" s="1"/>
  <c r="K87"/>
  <c r="K91"/>
  <c r="L91" s="1"/>
  <c r="M91" s="1"/>
  <c r="K94"/>
  <c r="L94" s="1"/>
  <c r="M94" s="1"/>
  <c r="K98"/>
  <c r="L98" s="1"/>
  <c r="M98" s="1"/>
  <c r="K102"/>
  <c r="L102" s="1"/>
  <c r="M102" s="1"/>
  <c r="K65"/>
  <c r="L65" s="1"/>
  <c r="M65" s="1"/>
  <c r="K75"/>
  <c r="L75" s="1"/>
  <c r="M75" s="1"/>
  <c r="K71"/>
  <c r="L71" s="1"/>
  <c r="M71" s="1"/>
  <c r="K67"/>
  <c r="L67" s="1"/>
  <c r="M67" s="1"/>
  <c r="K32"/>
  <c r="A32" s="1"/>
  <c r="K82"/>
  <c r="L82" s="1"/>
  <c r="M82" s="1"/>
  <c r="K86"/>
  <c r="L86" s="1"/>
  <c r="M86" s="1"/>
  <c r="K90"/>
  <c r="L90" s="1"/>
  <c r="M90" s="1"/>
  <c r="K93"/>
  <c r="L93" s="1"/>
  <c r="M93" s="1"/>
  <c r="K97"/>
  <c r="K101"/>
  <c r="L101" s="1"/>
  <c r="M101" s="1"/>
  <c r="K60"/>
  <c r="A60" s="1"/>
  <c r="K76"/>
  <c r="K72"/>
  <c r="K68"/>
  <c r="L68" s="1"/>
  <c r="M68" s="1"/>
  <c r="K81"/>
  <c r="L81" s="1"/>
  <c r="M81" s="1"/>
  <c r="K85"/>
  <c r="K89"/>
  <c r="L89" s="1"/>
  <c r="M89" s="1"/>
  <c r="K92"/>
  <c r="L92" s="1"/>
  <c r="M92" s="1"/>
  <c r="K96"/>
  <c r="L96" s="1"/>
  <c r="M96" s="1"/>
  <c r="O13"/>
  <c r="L88"/>
  <c r="M88" s="1"/>
  <c r="L87"/>
  <c r="M87" s="1"/>
  <c r="L85"/>
  <c r="M85" s="1"/>
  <c r="L97"/>
  <c r="M97" s="1"/>
  <c r="L100"/>
  <c r="M100" s="1"/>
  <c r="L72"/>
  <c r="M72" s="1"/>
  <c r="L76"/>
  <c r="M76" s="1"/>
  <c r="L78"/>
  <c r="M78" s="1"/>
  <c r="L66"/>
  <c r="M66" s="1"/>
  <c r="K26"/>
  <c r="A26" s="1"/>
  <c r="K18"/>
  <c r="K34"/>
  <c r="K48"/>
  <c r="K40"/>
  <c r="A40" s="1"/>
  <c r="K63"/>
  <c r="K50"/>
  <c r="A50" s="1"/>
  <c r="K42"/>
  <c r="A42" s="1"/>
  <c r="K62"/>
  <c r="K28"/>
  <c r="K23"/>
  <c r="K19"/>
  <c r="O8"/>
  <c r="K52"/>
  <c r="K44"/>
  <c r="A44" s="1"/>
  <c r="K36"/>
  <c r="A36" s="1"/>
  <c r="K30"/>
  <c r="K24"/>
  <c r="K20"/>
  <c r="K17"/>
  <c r="K22"/>
  <c r="K54"/>
  <c r="K46"/>
  <c r="A46" s="1"/>
  <c r="K38"/>
  <c r="K56"/>
  <c r="A56" s="1"/>
  <c r="K57"/>
  <c r="A57" s="1"/>
  <c r="K61"/>
  <c r="K64"/>
  <c r="A64" s="1"/>
  <c r="K53"/>
  <c r="A53" s="1"/>
  <c r="K49"/>
  <c r="A49" s="1"/>
  <c r="K45"/>
  <c r="A45" s="1"/>
  <c r="K41"/>
  <c r="A41" s="1"/>
  <c r="K37"/>
  <c r="A37" s="1"/>
  <c r="K55"/>
  <c r="K59"/>
  <c r="A59" s="1"/>
  <c r="K51"/>
  <c r="K47"/>
  <c r="A47" s="1"/>
  <c r="K43"/>
  <c r="A43" s="1"/>
  <c r="K39"/>
  <c r="A39" s="1"/>
  <c r="K35"/>
  <c r="K58"/>
  <c r="L27" l="1"/>
  <c r="M27" s="1"/>
  <c r="A27"/>
  <c r="O27"/>
  <c r="P27" s="1"/>
  <c r="L31"/>
  <c r="M31" s="1"/>
  <c r="O94"/>
  <c r="P94" s="1"/>
  <c r="O29"/>
  <c r="P29" s="1"/>
  <c r="L29"/>
  <c r="M29" s="1"/>
  <c r="A29"/>
  <c r="L33"/>
  <c r="M33" s="1"/>
  <c r="L60"/>
  <c r="M60" s="1"/>
  <c r="L44"/>
  <c r="M44" s="1"/>
  <c r="L25"/>
  <c r="M25" s="1"/>
  <c r="L21"/>
  <c r="M21" s="1"/>
  <c r="L32"/>
  <c r="M32" s="1"/>
  <c r="O60"/>
  <c r="P60" s="1"/>
  <c r="L40"/>
  <c r="M40" s="1"/>
  <c r="L46"/>
  <c r="M46" s="1"/>
  <c r="L38"/>
  <c r="M38" s="1"/>
  <c r="A38"/>
  <c r="L17"/>
  <c r="M17" s="1"/>
  <c r="A17"/>
  <c r="L19"/>
  <c r="M19" s="1"/>
  <c r="A19"/>
  <c r="L48"/>
  <c r="M48" s="1"/>
  <c r="A48"/>
  <c r="O35"/>
  <c r="P35" s="1"/>
  <c r="A35"/>
  <c r="O51"/>
  <c r="P51" s="1"/>
  <c r="A51"/>
  <c r="O22"/>
  <c r="P22" s="1"/>
  <c r="A22"/>
  <c r="L30"/>
  <c r="M30" s="1"/>
  <c r="A30"/>
  <c r="L62"/>
  <c r="M62" s="1"/>
  <c r="A62"/>
  <c r="L58"/>
  <c r="M58" s="1"/>
  <c r="A58"/>
  <c r="L55"/>
  <c r="M55" s="1"/>
  <c r="A55"/>
  <c r="L61"/>
  <c r="M61" s="1"/>
  <c r="A61"/>
  <c r="L54"/>
  <c r="M54" s="1"/>
  <c r="A54"/>
  <c r="L24"/>
  <c r="M24" s="1"/>
  <c r="A24"/>
  <c r="L52"/>
  <c r="M52" s="1"/>
  <c r="A52"/>
  <c r="L28"/>
  <c r="M28" s="1"/>
  <c r="A28"/>
  <c r="L63"/>
  <c r="M63" s="1"/>
  <c r="A63"/>
  <c r="L18"/>
  <c r="M18" s="1"/>
  <c r="A18"/>
  <c r="L20"/>
  <c r="M20" s="1"/>
  <c r="A20"/>
  <c r="L23"/>
  <c r="M23" s="1"/>
  <c r="A23"/>
  <c r="L34"/>
  <c r="M34" s="1"/>
  <c r="A34"/>
  <c r="L42"/>
  <c r="M42" s="1"/>
  <c r="O99"/>
  <c r="P99" s="1"/>
  <c r="O92"/>
  <c r="P92" s="1"/>
  <c r="O36"/>
  <c r="P36" s="1"/>
  <c r="O65"/>
  <c r="P65" s="1"/>
  <c r="O83"/>
  <c r="P83" s="1"/>
  <c r="O91"/>
  <c r="P91" s="1"/>
  <c r="O100"/>
  <c r="P100" s="1"/>
  <c r="O98"/>
  <c r="P98" s="1"/>
  <c r="O82"/>
  <c r="P82" s="1"/>
  <c r="O33"/>
  <c r="P33" s="1"/>
  <c r="O79"/>
  <c r="P79" s="1"/>
  <c r="O90"/>
  <c r="P90" s="1"/>
  <c r="O74"/>
  <c r="P74" s="1"/>
  <c r="O89"/>
  <c r="P89" s="1"/>
  <c r="O88"/>
  <c r="P88" s="1"/>
  <c r="O101"/>
  <c r="P101" s="1"/>
  <c r="O93"/>
  <c r="P93" s="1"/>
  <c r="O81"/>
  <c r="P81" s="1"/>
  <c r="O80"/>
  <c r="P80" s="1"/>
  <c r="O97"/>
  <c r="P97" s="1"/>
  <c r="O85"/>
  <c r="P85" s="1"/>
  <c r="O84"/>
  <c r="P84" s="1"/>
  <c r="O32"/>
  <c r="P32" s="1"/>
  <c r="O87"/>
  <c r="P87" s="1"/>
  <c r="O96"/>
  <c r="P96" s="1"/>
  <c r="O86"/>
  <c r="P86" s="1"/>
  <c r="O103"/>
  <c r="P103" s="1"/>
  <c r="O95"/>
  <c r="P95" s="1"/>
  <c r="O102"/>
  <c r="P102" s="1"/>
  <c r="O19"/>
  <c r="P19" s="1"/>
  <c r="O40"/>
  <c r="P40" s="1"/>
  <c r="O69"/>
  <c r="P69" s="1"/>
  <c r="O73"/>
  <c r="P73" s="1"/>
  <c r="O77"/>
  <c r="P77" s="1"/>
  <c r="O68"/>
  <c r="P68" s="1"/>
  <c r="O67"/>
  <c r="P67" s="1"/>
  <c r="O71"/>
  <c r="P71" s="1"/>
  <c r="O75"/>
  <c r="P75" s="1"/>
  <c r="L36"/>
  <c r="M36" s="1"/>
  <c r="O72"/>
  <c r="P72" s="1"/>
  <c r="O62"/>
  <c r="P62" s="1"/>
  <c r="O70"/>
  <c r="P70" s="1"/>
  <c r="O78"/>
  <c r="P78" s="1"/>
  <c r="O66"/>
  <c r="P66" s="1"/>
  <c r="O76"/>
  <c r="P76" s="1"/>
  <c r="O20"/>
  <c r="P20" s="1"/>
  <c r="O21"/>
  <c r="P21" s="1"/>
  <c r="O34"/>
  <c r="P34" s="1"/>
  <c r="O31"/>
  <c r="P31" s="1"/>
  <c r="O61"/>
  <c r="P61" s="1"/>
  <c r="L35"/>
  <c r="M35" s="1"/>
  <c r="O18"/>
  <c r="P18" s="1"/>
  <c r="O44"/>
  <c r="P44" s="1"/>
  <c r="O54"/>
  <c r="P54" s="1"/>
  <c r="O17"/>
  <c r="P17" s="1"/>
  <c r="O58"/>
  <c r="P58" s="1"/>
  <c r="O39"/>
  <c r="P39" s="1"/>
  <c r="O52"/>
  <c r="P52" s="1"/>
  <c r="O50"/>
  <c r="P50" s="1"/>
  <c r="O25"/>
  <c r="P25" s="1"/>
  <c r="O30"/>
  <c r="P30" s="1"/>
  <c r="O26"/>
  <c r="P26" s="1"/>
  <c r="L51"/>
  <c r="M51" s="1"/>
  <c r="O47"/>
  <c r="S47" s="1"/>
  <c r="L50"/>
  <c r="M50" s="1"/>
  <c r="O46"/>
  <c r="P46" s="1"/>
  <c r="O42"/>
  <c r="P42" s="1"/>
  <c r="O24"/>
  <c r="P24" s="1"/>
  <c r="L47"/>
  <c r="R47" s="1"/>
  <c r="O43"/>
  <c r="P43" s="1"/>
  <c r="O48"/>
  <c r="P48" s="1"/>
  <c r="O38"/>
  <c r="P38" s="1"/>
  <c r="O63"/>
  <c r="P63" s="1"/>
  <c r="L41"/>
  <c r="M41" s="1"/>
  <c r="O41"/>
  <c r="P41" s="1"/>
  <c r="O57"/>
  <c r="P57" s="1"/>
  <c r="L57"/>
  <c r="M57" s="1"/>
  <c r="L37"/>
  <c r="M37" s="1"/>
  <c r="O37"/>
  <c r="P37" s="1"/>
  <c r="L53"/>
  <c r="M53" s="1"/>
  <c r="O53"/>
  <c r="P53" s="1"/>
  <c r="L49"/>
  <c r="M49" s="1"/>
  <c r="O49"/>
  <c r="P49" s="1"/>
  <c r="O59"/>
  <c r="P59" s="1"/>
  <c r="L59"/>
  <c r="M59" s="1"/>
  <c r="L45"/>
  <c r="M45" s="1"/>
  <c r="O45"/>
  <c r="P45" s="1"/>
  <c r="O64"/>
  <c r="P64" s="1"/>
  <c r="L64"/>
  <c r="M64" s="1"/>
  <c r="O56"/>
  <c r="P56" s="1"/>
  <c r="L56"/>
  <c r="M56" s="1"/>
  <c r="L43"/>
  <c r="M43" s="1"/>
  <c r="L39"/>
  <c r="M39" s="1"/>
  <c r="O55"/>
  <c r="P55" s="1"/>
  <c r="L22"/>
  <c r="M22" s="1"/>
  <c r="L26"/>
  <c r="M26" s="1"/>
  <c r="O23"/>
  <c r="P23" s="1"/>
  <c r="O28"/>
  <c r="P28" s="1"/>
  <c r="M47" l="1"/>
  <c r="R46" s="1"/>
  <c r="P47"/>
  <c r="S46" s="1"/>
  <c r="T46" l="1"/>
</calcChain>
</file>

<file path=xl/sharedStrings.xml><?xml version="1.0" encoding="utf-8"?>
<sst xmlns="http://schemas.openxmlformats.org/spreadsheetml/2006/main" count="448" uniqueCount="228">
  <si>
    <t>HOWDEN COMPRESSOR SPECIFICATION</t>
  </si>
  <si>
    <t>WEIGHT APPROX.</t>
  </si>
  <si>
    <t>WRV 163/1.45</t>
  </si>
  <si>
    <t>WRV 163/1.80</t>
  </si>
  <si>
    <t>WRV 204/1.10</t>
  </si>
  <si>
    <t>WRV 204/1.45</t>
  </si>
  <si>
    <t>WRV 204/1.65</t>
  </si>
  <si>
    <t>WRV 204/1.93</t>
  </si>
  <si>
    <t>WRVi 255/1.10</t>
  </si>
  <si>
    <t>WRVi 255/1.30</t>
  </si>
  <si>
    <t>WRVi 255/1.45</t>
  </si>
  <si>
    <t>WRVi 255/1.65</t>
  </si>
  <si>
    <t>WRVi 255/1.93</t>
  </si>
  <si>
    <t>WRV 255/2.20</t>
  </si>
  <si>
    <t>WRVi 321/1.32</t>
  </si>
  <si>
    <t>WRVi 321/1.65</t>
  </si>
  <si>
    <t>WRVi 321/1.93</t>
  </si>
  <si>
    <t>WRV 321/2.20</t>
  </si>
  <si>
    <t>WRVi 365/165</t>
  </si>
  <si>
    <t>WRVi 365/193</t>
  </si>
  <si>
    <t>WRV 510/1.32</t>
  </si>
  <si>
    <t>WRV 510/1.65</t>
  </si>
  <si>
    <t>WRV 510/1.93</t>
  </si>
  <si>
    <t>The company operates a policy of continuous product development and reserves the right to alter the data provided without notice.</t>
  </si>
  <si>
    <t>*Swept volume at 3000 rpm except WRV510 range which is measured at 1500rpm **Swept volume at 3600 rpm except WRV510 which is measured at 1800 rpm.</t>
  </si>
  <si>
    <t>XRV 163 &amp; XRV 204 Compressors</t>
  </si>
  <si>
    <t>XRV 127-R1</t>
  </si>
  <si>
    <t>XRV 127-R3</t>
  </si>
  <si>
    <t>XRV 127-R4</t>
  </si>
  <si>
    <t>XRV 127-R5</t>
  </si>
  <si>
    <t>-</t>
  </si>
  <si>
    <t>XRV 163/1.65</t>
  </si>
  <si>
    <t>XRV 163/1.93</t>
  </si>
  <si>
    <t>XRV 204/1.10</t>
  </si>
  <si>
    <t>XRV 204/1.45</t>
  </si>
  <si>
    <t>XRV 204/1.65</t>
  </si>
  <si>
    <t>XRV 204/1.93</t>
  </si>
  <si>
    <t xml:space="preserve">m3/hr </t>
  </si>
  <si>
    <t>mm</t>
  </si>
  <si>
    <t>kg</t>
  </si>
  <si>
    <t>L/D : Lentgh over diameter is around 1,4 to 2,1</t>
  </si>
  <si>
    <t>XRV 127</t>
  </si>
  <si>
    <r>
      <t>*SWEPT VOLUME</t>
    </r>
    <r>
      <rPr>
        <sz val="8"/>
        <color indexed="8"/>
        <rFont val="Arial"/>
        <family val="1"/>
        <charset val="204"/>
      </rPr>
      <t xml:space="preserve">
</t>
    </r>
    <r>
      <rPr>
        <sz val="8"/>
        <color indexed="54"/>
        <rFont val="Arial"/>
        <family val="1"/>
        <charset val="204"/>
      </rPr>
      <t>50Hz</t>
    </r>
  </si>
  <si>
    <r>
      <t>*SWEPT VOLUME</t>
    </r>
    <r>
      <rPr>
        <sz val="8"/>
        <color indexed="8"/>
        <rFont val="Arial"/>
        <family val="1"/>
        <charset val="204"/>
      </rPr>
      <t xml:space="preserve">
</t>
    </r>
    <r>
      <rPr>
        <sz val="8"/>
        <color indexed="54"/>
        <rFont val="Arial"/>
        <family val="1"/>
        <charset val="204"/>
      </rPr>
      <t>60Hz</t>
    </r>
  </si>
  <si>
    <r>
      <t>SUCTION PORT</t>
    </r>
    <r>
      <rPr>
        <sz val="8"/>
        <color indexed="8"/>
        <rFont val="Arial"/>
        <family val="1"/>
        <charset val="204"/>
      </rPr>
      <t xml:space="preserve">
</t>
    </r>
    <r>
      <rPr>
        <sz val="8"/>
        <color indexed="54"/>
        <rFont val="Arial"/>
        <family val="1"/>
        <charset val="204"/>
      </rPr>
      <t>Ø</t>
    </r>
  </si>
  <si>
    <r>
      <t>DISCHARGE PORT</t>
    </r>
    <r>
      <rPr>
        <sz val="8"/>
        <color indexed="8"/>
        <rFont val="Arial"/>
        <family val="1"/>
        <charset val="204"/>
      </rPr>
      <t xml:space="preserve">
</t>
    </r>
    <r>
      <rPr>
        <sz val="8"/>
        <color indexed="54"/>
        <rFont val="Arial"/>
        <family val="1"/>
        <charset val="204"/>
      </rPr>
      <t>Ø</t>
    </r>
  </si>
  <si>
    <t>A</t>
  </si>
  <si>
    <t>B</t>
  </si>
  <si>
    <t>C</t>
  </si>
  <si>
    <t>D</t>
  </si>
  <si>
    <t>L</t>
  </si>
  <si>
    <t>M</t>
  </si>
  <si>
    <t>H</t>
  </si>
  <si>
    <t>125SUD</t>
  </si>
  <si>
    <t>400MUD</t>
  </si>
  <si>
    <t>400SUD</t>
  </si>
  <si>
    <t>200 VSD</t>
  </si>
  <si>
    <t>200 VMD</t>
  </si>
  <si>
    <t>200 VLD</t>
  </si>
  <si>
    <t>250 VSD</t>
  </si>
  <si>
    <t>250 VMD</t>
  </si>
  <si>
    <t>250 VLD</t>
  </si>
  <si>
    <t>250 VLLD</t>
  </si>
  <si>
    <t>320 VSD</t>
  </si>
  <si>
    <t>320 VMD</t>
  </si>
  <si>
    <t>320 VLD</t>
  </si>
  <si>
    <t>MYCOM</t>
  </si>
  <si>
    <t>MANUFACTURER</t>
  </si>
  <si>
    <t>Vol %</t>
  </si>
  <si>
    <t>Pin</t>
  </si>
  <si>
    <t>Tin</t>
  </si>
  <si>
    <t>air molar mass</t>
  </si>
  <si>
    <t>air density</t>
  </si>
  <si>
    <t>rho</t>
  </si>
  <si>
    <t>LP</t>
  </si>
  <si>
    <t>HP</t>
  </si>
  <si>
    <t>Pout</t>
  </si>
  <si>
    <t>Isotherm eff.</t>
  </si>
  <si>
    <t>MODEL</t>
  </si>
  <si>
    <t>LP Flow</t>
  </si>
  <si>
    <t>LP Power</t>
  </si>
  <si>
    <t>HP Flow</t>
  </si>
  <si>
    <t>HP Power</t>
  </si>
  <si>
    <t>Vi</t>
  </si>
  <si>
    <t>BEST MP Pressure</t>
  </si>
  <si>
    <t>BEST HP Pressure</t>
  </si>
  <si>
    <t>Howden</t>
  </si>
  <si>
    <t>WRV 510/1.65**</t>
  </si>
  <si>
    <t>WRV 510/1.93**</t>
  </si>
  <si>
    <t>WRV 510/1.32**</t>
  </si>
  <si>
    <t xml:space="preserve">MYCOM internal Volume ratio </t>
  </si>
  <si>
    <t>API 619 standard and ISO 10440, respectively</t>
  </si>
  <si>
    <t>GEA GRASSO</t>
  </si>
  <si>
    <t>LT-P</t>
  </si>
  <si>
    <t>LT-R</t>
  </si>
  <si>
    <t>LT-S</t>
  </si>
  <si>
    <t>LT-T</t>
  </si>
  <si>
    <t>LT-V</t>
  </si>
  <si>
    <t>LT-W</t>
  </si>
  <si>
    <t>LT-Y</t>
  </si>
  <si>
    <t>LT-Z</t>
  </si>
  <si>
    <t>LT-XA</t>
  </si>
  <si>
    <t>LT-XB</t>
  </si>
  <si>
    <t>LT-XC</t>
  </si>
  <si>
    <t>LT-XD</t>
  </si>
  <si>
    <t>LT-XE</t>
  </si>
  <si>
    <t>LT-XF</t>
  </si>
  <si>
    <t>Ideal Vi</t>
  </si>
  <si>
    <t>400LUD</t>
  </si>
  <si>
    <t>400LLUD</t>
  </si>
  <si>
    <t>Frick</t>
  </si>
  <si>
    <t>HOUSING: Cast Iron</t>
  </si>
  <si>
    <t>ROTORS: Asymmetric 4+6</t>
  </si>
  <si>
    <t>BEARINGS: Antifriction</t>
  </si>
  <si>
    <t>SHAFT SEAL: Stationary carbon</t>
  </si>
  <si>
    <t>VOLUME RATIO CONTROL: Variable 2.2 – 5.0</t>
  </si>
  <si>
    <t>CAPACITY CONTROL: Variable 12% - 100%</t>
  </si>
  <si>
    <t>LUBRICATION SYSTEM: No Oil Pump</t>
  </si>
  <si>
    <t>OIL SEPARATOR/RESERVOIR: ASME 300 psi DWP</t>
  </si>
  <si>
    <t>OIL FILTERS: 5 Micron Absolute</t>
  </si>
  <si>
    <t>GEOMETRICAL SWEPT VOLUME</t>
  </si>
  <si>
    <t>Compressor
Model</t>
  </si>
  <si>
    <t>Rotor Diameter mm</t>
  </si>
  <si>
    <t>Rotor
L/D</t>
  </si>
  <si>
    <t>Max Speed RPM</t>
  </si>
  <si>
    <t>Geometrical
Swept Volume
Drive Shaft  End</t>
  </si>
  <si>
    <t>CFM
3550 RPM</t>
  </si>
  <si>
    <t>m³/h
2950 RPM</t>
  </si>
  <si>
    <t>ft³/  Rev</t>
  </si>
  <si>
    <t>m³/Rev</t>
  </si>
  <si>
    <t>SGC1913</t>
  </si>
  <si>
    <t>.4,500.</t>
  </si>
  <si>
    <t>SGC.1918</t>
  </si>
  <si>
    <t>SGC.2313</t>
  </si>
  <si>
    <t>SGC.2317</t>
  </si>
  <si>
    <t>SGC.2321</t>
  </si>
  <si>
    <t>SGC.2813</t>
  </si>
  <si>
    <t>.4,200.</t>
  </si>
  <si>
    <t>SGC.2817</t>
  </si>
  <si>
    <t>SGC.2821</t>
  </si>
  <si>
    <t>SGC.2824</t>
  </si>
  <si>
    <t>SGCH/B.3511</t>
  </si>
  <si>
    <t>SGCH/B.3515</t>
  </si>
  <si>
    <t>SGCH/B.3519</t>
  </si>
  <si>
    <t>SGCB.3524</t>
  </si>
  <si>
    <t>Rotor</t>
  </si>
  <si>
    <t>VMY236H (DP&lt;20 b)</t>
  </si>
  <si>
    <t>VMY236B (DP&lt;8 b)</t>
  </si>
  <si>
    <t>VMY236M (DP&lt;16 b)</t>
  </si>
  <si>
    <t>VMY536H (DP&lt;20 b)</t>
  </si>
  <si>
    <t>VMY536M (DP&lt;16 b)</t>
  </si>
  <si>
    <t>VMY536B (DP&lt;8 b)</t>
  </si>
  <si>
    <t>VMY436H (DP&lt;20 b)</t>
  </si>
  <si>
    <t>VMY436M (DP&lt;16 b)</t>
  </si>
  <si>
    <t>VMY436B (DP&lt;8 b)</t>
  </si>
  <si>
    <t>VMY336H (DP&lt;20 b)</t>
  </si>
  <si>
    <t>VMY336M (DP&lt;16 b)</t>
  </si>
  <si>
    <t>VMY336B (DP&lt;8 b)</t>
  </si>
  <si>
    <t>Aerzen</t>
  </si>
  <si>
    <t>Attention , Delta P max spécifié !</t>
  </si>
  <si>
    <t>BVR</t>
  </si>
  <si>
    <t>Pinlet</t>
  </si>
  <si>
    <t>Pr</t>
  </si>
  <si>
    <t>Ideal Poutlet</t>
  </si>
  <si>
    <t>Qatar 1</t>
  </si>
  <si>
    <t>m_HP</t>
  </si>
  <si>
    <t>m_LP</t>
  </si>
  <si>
    <t>LP/HP</t>
  </si>
  <si>
    <t>LP Am3/h</t>
  </si>
  <si>
    <t>HP Am3/h</t>
  </si>
  <si>
    <t>Nb_LP</t>
  </si>
  <si>
    <t>Nb_HP</t>
  </si>
  <si>
    <t>400MUD-LB</t>
  </si>
  <si>
    <t>400SUD-L</t>
  </si>
  <si>
    <t>RPM</t>
  </si>
  <si>
    <t>Screw LP</t>
  </si>
  <si>
    <t>Screw HP</t>
  </si>
  <si>
    <t>T
(K)</t>
  </si>
  <si>
    <t>LP
(bar abs)</t>
  </si>
  <si>
    <t>MP
(bar abs)</t>
  </si>
  <si>
    <t>HP
(bar abs)</t>
  </si>
  <si>
    <t>%vol
LP</t>
  </si>
  <si>
    <t>%vol
HP</t>
  </si>
  <si>
    <t>NEED
(screw displacement)</t>
  </si>
  <si>
    <t>LP
(Am3/h)</t>
  </si>
  <si>
    <t>HP
(Am3/h)</t>
  </si>
  <si>
    <t>KSTAR</t>
  </si>
  <si>
    <t>400SUD-MB</t>
  </si>
  <si>
    <t>320SUD-L</t>
  </si>
  <si>
    <t>S</t>
  </si>
  <si>
    <t>ESS</t>
  </si>
  <si>
    <t>Actual flow
(process need)</t>
  </si>
  <si>
    <t>Qatar 3</t>
  </si>
  <si>
    <t xml:space="preserve"> </t>
  </si>
  <si>
    <t>Qatar 2</t>
  </si>
  <si>
    <t>TMCP</t>
  </si>
  <si>
    <t>LEP 12kW</t>
  </si>
  <si>
    <t>SNS20K</t>
  </si>
  <si>
    <t>Power @4,5K</t>
  </si>
  <si>
    <t>Tmoy</t>
  </si>
  <si>
    <t>Rdt W/W</t>
  </si>
  <si>
    <t>Rdt %</t>
  </si>
  <si>
    <t>4,5K</t>
  </si>
  <si>
    <t>20K</t>
  </si>
  <si>
    <t>Rdt expected (Green)</t>
  </si>
  <si>
    <t>Power WCS
(kW)</t>
  </si>
  <si>
    <t>ITER</t>
  </si>
  <si>
    <t>nb comp</t>
  </si>
  <si>
    <t>flow</t>
  </si>
  <si>
    <t>320 LLUD</t>
  </si>
  <si>
    <t>320 MUD</t>
  </si>
  <si>
    <t>JT60Offer</t>
  </si>
  <si>
    <t>P suction</t>
  </si>
  <si>
    <t>Pdischarge</t>
  </si>
  <si>
    <t>P ratio</t>
  </si>
  <si>
    <t>rdt isoT calc</t>
  </si>
  <si>
    <t>rdt vol calc</t>
  </si>
  <si>
    <t>rdt soT corrigé</t>
  </si>
  <si>
    <t>rdt vol corrigé</t>
  </si>
  <si>
    <t>Patm</t>
  </si>
  <si>
    <t>isoT efficiency</t>
  </si>
  <si>
    <t>ratio pressure</t>
  </si>
  <si>
    <t>LPL to MP</t>
  </si>
  <si>
    <t>LPR to MP</t>
  </si>
  <si>
    <t>MP to HP</t>
  </si>
  <si>
    <t>volumetric efficiency</t>
  </si>
  <si>
    <t>Ratio</t>
  </si>
  <si>
    <t>Volumetric eff.</t>
  </si>
</sst>
</file>

<file path=xl/styles.xml><?xml version="1.0" encoding="utf-8"?>
<styleSheet xmlns="http://schemas.openxmlformats.org/spreadsheetml/2006/main">
  <numFmts count="17">
    <numFmt numFmtId="43" formatCode="_-* #,##0.00\ _€_-;\-* #,##0.00\ _€_-;_-* &quot;-&quot;??\ _€_-;_-@_-"/>
    <numFmt numFmtId="164" formatCode="###0;###0"/>
    <numFmt numFmtId="165" formatCode="General&quot; RPM&quot;"/>
    <numFmt numFmtId="166" formatCode="General&quot; Hz&quot;"/>
    <numFmt numFmtId="167" formatCode="#,##0&quot; CFM&quot;"/>
    <numFmt numFmtId="168" formatCode="#,##0&quot; m3/h&quot;"/>
    <numFmt numFmtId="169" formatCode="#,##0.00&quot; g/s&quot;"/>
    <numFmt numFmtId="170" formatCode="#,##0&quot; W&quot;"/>
    <numFmt numFmtId="171" formatCode="#,##0&quot; kW&quot;"/>
    <numFmt numFmtId="172" formatCode="0.0"/>
    <numFmt numFmtId="173" formatCode="###0.00;###0.00"/>
    <numFmt numFmtId="174" formatCode="###0.00000;###0.00000"/>
    <numFmt numFmtId="175" formatCode="###0.000000;###0.000000"/>
    <numFmt numFmtId="176" formatCode="###0.0;###0.0"/>
    <numFmt numFmtId="177" formatCode="_-* #,##0\ _€_-;\-* #,##0\ _€_-;_-* &quot;-&quot;??\ _€_-;_-@_-"/>
    <numFmt numFmtId="178" formatCode="_(* #,##0.00_);_(* \(#,##0.00\);_(* &quot;-&quot;??_);_(@_)"/>
    <numFmt numFmtId="179" formatCode="_-* #,##0.00\ _F_-;\-* #,##0.00\ _F_-;_-* &quot;-&quot;??\ _F_-;_-@_-"/>
  </numFmts>
  <fonts count="43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Arial"/>
      <family val="1"/>
      <charset val="204"/>
    </font>
    <font>
      <sz val="8"/>
      <color indexed="54"/>
      <name val="Arial"/>
      <family val="1"/>
      <charset val="204"/>
    </font>
    <font>
      <sz val="12"/>
      <color indexed="8"/>
      <name val="Arial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Arial"/>
      <family val="2"/>
    </font>
    <font>
      <sz val="12"/>
      <name val="Times New Roman"/>
      <family val="1"/>
      <charset val="204"/>
    </font>
    <font>
      <b/>
      <sz val="12"/>
      <color indexed="8"/>
      <name val="Arial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color rgb="FF0000FF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555555"/>
      <name val="Arial"/>
      <family val="2"/>
    </font>
    <font>
      <sz val="10"/>
      <color rgb="FFFF0000"/>
      <name val="Arial"/>
      <family val="2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8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123">
    <xf numFmtId="0" fontId="0" fillId="0" borderId="0" xfId="0">
      <alignment vertical="top" wrapText="1"/>
    </xf>
    <xf numFmtId="0" fontId="0" fillId="33" borderId="0" xfId="0" applyFill="1">
      <alignment vertical="top" wrapText="1"/>
    </xf>
    <xf numFmtId="0" fontId="22" fillId="33" borderId="0" xfId="0" applyFont="1" applyFill="1" applyAlignment="1">
      <alignment horizontal="left" vertical="top" wrapText="1"/>
    </xf>
    <xf numFmtId="0" fontId="21" fillId="33" borderId="0" xfId="0" applyFont="1" applyFill="1" applyAlignment="1">
      <alignment horizontal="left" vertical="top" wrapText="1"/>
    </xf>
    <xf numFmtId="164" fontId="23" fillId="33" borderId="0" xfId="0" applyNumberFormat="1" applyFont="1" applyFill="1" applyAlignment="1">
      <alignment horizontal="left" vertical="top" wrapText="1"/>
    </xf>
    <xf numFmtId="164" fontId="23" fillId="33" borderId="0" xfId="0" applyNumberFormat="1" applyFont="1" applyFill="1" applyAlignment="1">
      <alignment horizontal="center" vertical="top" wrapText="1"/>
    </xf>
    <xf numFmtId="0" fontId="22" fillId="33" borderId="0" xfId="0" applyFont="1" applyFill="1" applyAlignment="1">
      <alignment horizontal="left" vertical="top"/>
    </xf>
    <xf numFmtId="0" fontId="24" fillId="33" borderId="0" xfId="0" applyFont="1" applyFill="1">
      <alignment vertical="top" wrapText="1"/>
    </xf>
    <xf numFmtId="0" fontId="25" fillId="33" borderId="10" xfId="0" applyFont="1" applyFill="1" applyBorder="1" applyAlignment="1">
      <alignment horizontal="left" vertical="top"/>
    </xf>
    <xf numFmtId="0" fontId="26" fillId="33" borderId="10" xfId="0" applyFont="1" applyFill="1" applyBorder="1" applyAlignment="1">
      <alignment vertical="top"/>
    </xf>
    <xf numFmtId="0" fontId="20" fillId="33" borderId="0" xfId="0" applyFont="1" applyFill="1" applyAlignment="1">
      <alignment horizontal="left" vertical="top" wrapText="1"/>
    </xf>
    <xf numFmtId="0" fontId="20" fillId="33" borderId="0" xfId="0" applyFont="1" applyFill="1" applyAlignment="1">
      <alignment vertical="top" wrapText="1"/>
    </xf>
    <xf numFmtId="165" fontId="27" fillId="33" borderId="0" xfId="0" applyNumberFormat="1" applyFont="1" applyFill="1">
      <alignment vertical="top" wrapText="1"/>
    </xf>
    <xf numFmtId="166" fontId="0" fillId="33" borderId="0" xfId="0" applyNumberFormat="1" applyFill="1">
      <alignment vertical="top" wrapText="1"/>
    </xf>
    <xf numFmtId="167" fontId="0" fillId="33" borderId="0" xfId="0" applyNumberFormat="1" applyFill="1">
      <alignment vertical="top" wrapText="1"/>
    </xf>
    <xf numFmtId="168" fontId="0" fillId="33" borderId="0" xfId="0" applyNumberFormat="1" applyFill="1">
      <alignment vertical="top" wrapText="1"/>
    </xf>
    <xf numFmtId="0" fontId="29" fillId="33" borderId="0" xfId="0" applyFont="1" applyFill="1">
      <alignment vertical="top" wrapText="1"/>
    </xf>
    <xf numFmtId="0" fontId="0" fillId="33" borderId="0" xfId="0" applyFill="1" applyAlignment="1">
      <alignment vertical="top"/>
    </xf>
    <xf numFmtId="169" fontId="0" fillId="33" borderId="0" xfId="0" applyNumberFormat="1" applyFill="1">
      <alignment vertical="top" wrapText="1"/>
    </xf>
    <xf numFmtId="170" fontId="0" fillId="33" borderId="0" xfId="42" applyNumberFormat="1" applyFont="1" applyFill="1" applyAlignment="1">
      <alignment vertical="top" wrapText="1"/>
    </xf>
    <xf numFmtId="9" fontId="30" fillId="34" borderId="0" xfId="0" applyNumberFormat="1" applyFont="1" applyFill="1">
      <alignment vertical="top" wrapText="1"/>
    </xf>
    <xf numFmtId="0" fontId="30" fillId="34" borderId="0" xfId="0" applyFont="1" applyFill="1">
      <alignment vertical="top" wrapText="1"/>
    </xf>
    <xf numFmtId="166" fontId="30" fillId="34" borderId="0" xfId="0" applyNumberFormat="1" applyFont="1" applyFill="1">
      <alignment vertical="top" wrapText="1"/>
    </xf>
    <xf numFmtId="171" fontId="0" fillId="33" borderId="0" xfId="42" applyNumberFormat="1" applyFont="1" applyFill="1" applyAlignment="1">
      <alignment vertical="top" wrapText="1"/>
    </xf>
    <xf numFmtId="0" fontId="29" fillId="33" borderId="0" xfId="0" applyFont="1" applyFill="1" applyAlignment="1">
      <alignment horizontal="center" vertical="top" wrapText="1"/>
    </xf>
    <xf numFmtId="0" fontId="32" fillId="33" borderId="0" xfId="0" applyFont="1" applyFill="1" applyAlignment="1">
      <alignment horizontal="left" vertical="top"/>
    </xf>
    <xf numFmtId="0" fontId="33" fillId="33" borderId="0" xfId="0" applyFont="1" applyFill="1">
      <alignment vertical="top" wrapText="1"/>
    </xf>
    <xf numFmtId="0" fontId="29" fillId="33" borderId="11" xfId="0" applyFont="1" applyFill="1" applyBorder="1" applyAlignment="1">
      <alignment horizontal="centerContinuous" vertical="top" wrapText="1"/>
    </xf>
    <xf numFmtId="0" fontId="29" fillId="33" borderId="12" xfId="0" applyFont="1" applyFill="1" applyBorder="1" applyAlignment="1">
      <alignment horizontal="centerContinuous" vertical="top" wrapText="1"/>
    </xf>
    <xf numFmtId="0" fontId="29" fillId="33" borderId="13" xfId="0" applyFont="1" applyFill="1" applyBorder="1" applyAlignment="1">
      <alignment horizontal="centerContinuous" vertical="top" wrapText="1"/>
    </xf>
    <xf numFmtId="0" fontId="29" fillId="33" borderId="14" xfId="0" applyFont="1" applyFill="1" applyBorder="1" applyAlignment="1">
      <alignment horizontal="center" vertical="top" wrapText="1"/>
    </xf>
    <xf numFmtId="0" fontId="29" fillId="33" borderId="0" xfId="0" applyFont="1" applyFill="1" applyBorder="1" applyAlignment="1">
      <alignment horizontal="center" vertical="top" wrapText="1"/>
    </xf>
    <xf numFmtId="0" fontId="29" fillId="33" borderId="15" xfId="0" applyFont="1" applyFill="1" applyBorder="1" applyAlignment="1">
      <alignment horizontal="center" vertical="top" wrapText="1"/>
    </xf>
    <xf numFmtId="0" fontId="29" fillId="33" borderId="16" xfId="0" applyFont="1" applyFill="1" applyBorder="1" applyAlignment="1">
      <alignment horizontal="center" vertical="top" wrapText="1"/>
    </xf>
    <xf numFmtId="0" fontId="29" fillId="33" borderId="10" xfId="0" applyFont="1" applyFill="1" applyBorder="1" applyAlignment="1">
      <alignment horizontal="center" vertical="top" wrapText="1"/>
    </xf>
    <xf numFmtId="0" fontId="29" fillId="33" borderId="17" xfId="0" applyFont="1" applyFill="1" applyBorder="1" applyAlignment="1">
      <alignment horizontal="center" vertical="top" wrapText="1"/>
    </xf>
    <xf numFmtId="172" fontId="0" fillId="33" borderId="16" xfId="0" applyNumberFormat="1" applyFill="1" applyBorder="1" applyAlignment="1">
      <alignment horizontal="center" vertical="top" wrapText="1"/>
    </xf>
    <xf numFmtId="172" fontId="0" fillId="33" borderId="10" xfId="0" applyNumberFormat="1" applyFill="1" applyBorder="1" applyAlignment="1">
      <alignment horizontal="center" vertical="top" wrapText="1"/>
    </xf>
    <xf numFmtId="172" fontId="0" fillId="33" borderId="17" xfId="0" applyNumberFormat="1" applyFill="1" applyBorder="1" applyAlignment="1">
      <alignment horizontal="center" vertical="top" wrapText="1"/>
    </xf>
    <xf numFmtId="0" fontId="0" fillId="36" borderId="0" xfId="0" applyFill="1">
      <alignment vertical="top" wrapText="1"/>
    </xf>
    <xf numFmtId="0" fontId="0" fillId="37" borderId="0" xfId="0" applyFill="1">
      <alignment vertical="top" wrapText="1"/>
    </xf>
    <xf numFmtId="0" fontId="31" fillId="38" borderId="0" xfId="0" applyFont="1" applyFill="1">
      <alignment vertical="top" wrapText="1"/>
    </xf>
    <xf numFmtId="0" fontId="34" fillId="0" borderId="0" xfId="0" applyFont="1" applyAlignment="1">
      <alignment horizontal="left" vertical="top" indent="1"/>
    </xf>
    <xf numFmtId="0" fontId="35" fillId="0" borderId="0" xfId="0" applyFont="1" applyAlignment="1">
      <alignment horizontal="left" vertical="top" indent="1"/>
    </xf>
    <xf numFmtId="0" fontId="37" fillId="35" borderId="28" xfId="0" applyFont="1" applyFill="1" applyBorder="1" applyAlignment="1">
      <alignment horizontal="left" vertical="top" wrapText="1"/>
    </xf>
    <xf numFmtId="0" fontId="37" fillId="35" borderId="29" xfId="0" applyFont="1" applyFill="1" applyBorder="1" applyAlignment="1">
      <alignment horizontal="left" vertical="top" wrapText="1"/>
    </xf>
    <xf numFmtId="174" fontId="38" fillId="35" borderId="29" xfId="0" applyNumberFormat="1" applyFont="1" applyFill="1" applyBorder="1" applyAlignment="1">
      <alignment horizontal="left" vertical="top" wrapText="1"/>
    </xf>
    <xf numFmtId="175" fontId="38" fillId="35" borderId="29" xfId="0" applyNumberFormat="1" applyFont="1" applyFill="1" applyBorder="1" applyAlignment="1">
      <alignment horizontal="left" vertical="top" wrapText="1"/>
    </xf>
    <xf numFmtId="43" fontId="37" fillId="35" borderId="29" xfId="42" applyFont="1" applyFill="1" applyBorder="1" applyAlignment="1">
      <alignment horizontal="left" vertical="top" wrapText="1"/>
    </xf>
    <xf numFmtId="43" fontId="0" fillId="0" borderId="0" xfId="42" applyFont="1" applyAlignment="1">
      <alignment vertical="top" wrapText="1"/>
    </xf>
    <xf numFmtId="0" fontId="0" fillId="39" borderId="0" xfId="0" applyFill="1">
      <alignment vertical="top" wrapText="1"/>
    </xf>
    <xf numFmtId="0" fontId="0" fillId="40" borderId="0" xfId="0" applyFill="1">
      <alignment vertical="top" wrapText="1"/>
    </xf>
    <xf numFmtId="0" fontId="0" fillId="34" borderId="0" xfId="0" applyFill="1">
      <alignment vertical="top" wrapText="1"/>
    </xf>
    <xf numFmtId="0" fontId="0" fillId="33" borderId="0" xfId="0" applyFill="1" applyBorder="1">
      <alignment vertical="top" wrapText="1"/>
    </xf>
    <xf numFmtId="0" fontId="0" fillId="33" borderId="0" xfId="0" applyFill="1" applyAlignment="1">
      <alignment horizontal="center" vertical="top" wrapText="1"/>
    </xf>
    <xf numFmtId="4" fontId="0" fillId="33" borderId="0" xfId="0" applyNumberFormat="1" applyFill="1" applyBorder="1" applyAlignment="1">
      <alignment horizontal="center" vertical="top" wrapText="1"/>
    </xf>
    <xf numFmtId="9" fontId="0" fillId="33" borderId="0" xfId="43" applyFont="1" applyFill="1" applyAlignment="1">
      <alignment vertical="top" wrapText="1"/>
    </xf>
    <xf numFmtId="0" fontId="0" fillId="33" borderId="30" xfId="0" applyFill="1" applyBorder="1">
      <alignment vertical="top" wrapText="1"/>
    </xf>
    <xf numFmtId="0" fontId="0" fillId="33" borderId="30" xfId="0" applyFill="1" applyBorder="1" applyAlignment="1">
      <alignment horizontal="center" vertical="top" wrapText="1"/>
    </xf>
    <xf numFmtId="0" fontId="0" fillId="36" borderId="30" xfId="0" applyFill="1" applyBorder="1" applyAlignment="1">
      <alignment horizontal="center" vertical="top" wrapText="1"/>
    </xf>
    <xf numFmtId="0" fontId="29" fillId="33" borderId="30" xfId="0" applyFont="1" applyFill="1" applyBorder="1" applyAlignment="1">
      <alignment horizontal="center" vertical="top" wrapText="1"/>
    </xf>
    <xf numFmtId="0" fontId="29" fillId="33" borderId="30" xfId="0" applyFont="1" applyFill="1" applyBorder="1">
      <alignment vertical="top" wrapText="1"/>
    </xf>
    <xf numFmtId="0" fontId="29" fillId="36" borderId="30" xfId="0" applyFont="1" applyFill="1" applyBorder="1" applyAlignment="1">
      <alignment horizontal="center" vertical="top" wrapText="1"/>
    </xf>
    <xf numFmtId="9" fontId="0" fillId="33" borderId="30" xfId="43" applyFont="1" applyFill="1" applyBorder="1" applyAlignment="1">
      <alignment horizontal="center" vertical="top" wrapText="1"/>
    </xf>
    <xf numFmtId="177" fontId="0" fillId="33" borderId="30" xfId="0" applyNumberFormat="1" applyFill="1" applyBorder="1" applyAlignment="1">
      <alignment horizontal="center" vertical="top" wrapText="1"/>
    </xf>
    <xf numFmtId="9" fontId="27" fillId="33" borderId="30" xfId="0" applyNumberFormat="1" applyFont="1" applyFill="1" applyBorder="1" applyAlignment="1">
      <alignment horizontal="center" vertical="top" wrapText="1"/>
    </xf>
    <xf numFmtId="0" fontId="29" fillId="33" borderId="0" xfId="0" applyFont="1" applyFill="1" applyAlignment="1">
      <alignment horizontal="centerContinuous" vertical="top" wrapText="1"/>
    </xf>
    <xf numFmtId="0" fontId="30" fillId="33" borderId="30" xfId="0" applyFont="1" applyFill="1" applyBorder="1" applyAlignment="1">
      <alignment horizontal="center" vertical="top" wrapText="1"/>
    </xf>
    <xf numFmtId="0" fontId="31" fillId="33" borderId="30" xfId="0" applyFont="1" applyFill="1" applyBorder="1">
      <alignment vertical="top" wrapText="1"/>
    </xf>
    <xf numFmtId="10" fontId="30" fillId="33" borderId="30" xfId="0" applyNumberFormat="1" applyFont="1" applyFill="1" applyBorder="1" applyAlignment="1">
      <alignment horizontal="center" vertical="top" wrapText="1"/>
    </xf>
    <xf numFmtId="10" fontId="31" fillId="33" borderId="30" xfId="0" applyNumberFormat="1" applyFont="1" applyFill="1" applyBorder="1" applyAlignment="1">
      <alignment horizontal="center" vertical="top" wrapText="1"/>
    </xf>
    <xf numFmtId="3" fontId="0" fillId="33" borderId="30" xfId="0" applyNumberFormat="1" applyFill="1" applyBorder="1" applyAlignment="1">
      <alignment horizontal="center" vertical="top" wrapText="1"/>
    </xf>
    <xf numFmtId="9" fontId="30" fillId="34" borderId="0" xfId="0" applyNumberFormat="1" applyFont="1" applyFill="1" applyAlignment="1">
      <alignment horizontal="center" vertical="top" wrapText="1"/>
    </xf>
    <xf numFmtId="9" fontId="31" fillId="33" borderId="0" xfId="0" applyNumberFormat="1" applyFont="1" applyFill="1" applyAlignment="1">
      <alignment horizontal="center" vertical="top" wrapText="1"/>
    </xf>
    <xf numFmtId="0" fontId="20" fillId="33" borderId="0" xfId="0" applyFont="1" applyFill="1" applyAlignment="1">
      <alignment horizontal="left" vertical="top" wrapText="1"/>
    </xf>
    <xf numFmtId="0" fontId="37" fillId="35" borderId="18" xfId="0" applyFont="1" applyFill="1" applyBorder="1" applyAlignment="1">
      <alignment horizontal="left" vertical="top" wrapText="1"/>
    </xf>
    <xf numFmtId="0" fontId="37" fillId="35" borderId="20" xfId="0" applyFont="1" applyFill="1" applyBorder="1" applyAlignment="1">
      <alignment horizontal="left" vertical="top" wrapText="1"/>
    </xf>
    <xf numFmtId="164" fontId="38" fillId="35" borderId="18" xfId="0" applyNumberFormat="1" applyFont="1" applyFill="1" applyBorder="1" applyAlignment="1">
      <alignment horizontal="center" vertical="top" wrapText="1"/>
    </xf>
    <xf numFmtId="164" fontId="38" fillId="35" borderId="19" xfId="0" applyNumberFormat="1" applyFont="1" applyFill="1" applyBorder="1" applyAlignment="1">
      <alignment horizontal="center" vertical="top" wrapText="1"/>
    </xf>
    <xf numFmtId="164" fontId="38" fillId="35" borderId="20" xfId="0" applyNumberFormat="1" applyFont="1" applyFill="1" applyBorder="1" applyAlignment="1">
      <alignment horizontal="center" vertical="top" wrapText="1"/>
    </xf>
    <xf numFmtId="176" fontId="38" fillId="35" borderId="18" xfId="0" applyNumberFormat="1" applyFont="1" applyFill="1" applyBorder="1" applyAlignment="1">
      <alignment horizontal="center" vertical="top" wrapText="1"/>
    </xf>
    <xf numFmtId="176" fontId="38" fillId="35" borderId="20" xfId="0" applyNumberFormat="1" applyFont="1" applyFill="1" applyBorder="1" applyAlignment="1">
      <alignment horizontal="center" vertical="top" wrapText="1"/>
    </xf>
    <xf numFmtId="173" fontId="38" fillId="35" borderId="18" xfId="0" applyNumberFormat="1" applyFont="1" applyFill="1" applyBorder="1" applyAlignment="1">
      <alignment horizontal="center" vertical="top" wrapText="1"/>
    </xf>
    <xf numFmtId="173" fontId="38" fillId="35" borderId="20" xfId="0" applyNumberFormat="1" applyFont="1" applyFill="1" applyBorder="1" applyAlignment="1">
      <alignment horizontal="center" vertical="top" wrapText="1"/>
    </xf>
    <xf numFmtId="0" fontId="36" fillId="35" borderId="18" xfId="0" applyFont="1" applyFill="1" applyBorder="1" applyAlignment="1">
      <alignment horizontal="center" vertical="top" wrapText="1"/>
    </xf>
    <xf numFmtId="0" fontId="36" fillId="35" borderId="19" xfId="0" applyFont="1" applyFill="1" applyBorder="1" applyAlignment="1">
      <alignment horizontal="center" vertical="top" wrapText="1"/>
    </xf>
    <xf numFmtId="0" fontId="36" fillId="35" borderId="20" xfId="0" applyFont="1" applyFill="1" applyBorder="1" applyAlignment="1">
      <alignment horizontal="center" vertical="top" wrapText="1"/>
    </xf>
    <xf numFmtId="0" fontId="37" fillId="35" borderId="21" xfId="0" applyFont="1" applyFill="1" applyBorder="1" applyAlignment="1">
      <alignment horizontal="center" wrapText="1"/>
    </xf>
    <xf numFmtId="0" fontId="37" fillId="35" borderId="22" xfId="0" applyFont="1" applyFill="1" applyBorder="1" applyAlignment="1">
      <alignment horizontal="center" wrapText="1"/>
    </xf>
    <xf numFmtId="0" fontId="37" fillId="35" borderId="25" xfId="0" applyFont="1" applyFill="1" applyBorder="1" applyAlignment="1">
      <alignment horizontal="center" wrapText="1"/>
    </xf>
    <xf numFmtId="0" fontId="37" fillId="35" borderId="26" xfId="0" applyFont="1" applyFill="1" applyBorder="1" applyAlignment="1">
      <alignment horizontal="center" wrapText="1"/>
    </xf>
    <xf numFmtId="0" fontId="37" fillId="35" borderId="21" xfId="0" applyFont="1" applyFill="1" applyBorder="1" applyAlignment="1">
      <alignment horizontal="center" vertical="center" wrapText="1"/>
    </xf>
    <xf numFmtId="0" fontId="37" fillId="35" borderId="23" xfId="0" applyFont="1" applyFill="1" applyBorder="1" applyAlignment="1">
      <alignment horizontal="center" vertical="center" wrapText="1"/>
    </xf>
    <xf numFmtId="0" fontId="37" fillId="35" borderId="22" xfId="0" applyFont="1" applyFill="1" applyBorder="1" applyAlignment="1">
      <alignment horizontal="center" vertical="center" wrapText="1"/>
    </xf>
    <xf numFmtId="0" fontId="37" fillId="35" borderId="25" xfId="0" applyFont="1" applyFill="1" applyBorder="1" applyAlignment="1">
      <alignment horizontal="center" vertical="center" wrapText="1"/>
    </xf>
    <xf numFmtId="0" fontId="37" fillId="35" borderId="27" xfId="0" applyFont="1" applyFill="1" applyBorder="1" applyAlignment="1">
      <alignment horizontal="center" vertical="center" wrapText="1"/>
    </xf>
    <xf numFmtId="0" fontId="37" fillId="35" borderId="26" xfId="0" applyFont="1" applyFill="1" applyBorder="1" applyAlignment="1">
      <alignment horizontal="center" vertical="center" wrapText="1"/>
    </xf>
    <xf numFmtId="0" fontId="37" fillId="35" borderId="24" xfId="0" applyFont="1" applyFill="1" applyBorder="1" applyAlignment="1">
      <alignment horizontal="center" vertical="center" wrapText="1"/>
    </xf>
    <xf numFmtId="0" fontId="37" fillId="35" borderId="28" xfId="0" applyFont="1" applyFill="1" applyBorder="1" applyAlignment="1">
      <alignment horizontal="center" vertical="center" wrapText="1"/>
    </xf>
    <xf numFmtId="0" fontId="37" fillId="35" borderId="21" xfId="0" applyFont="1" applyFill="1" applyBorder="1" applyAlignment="1">
      <alignment horizontal="center" vertical="top" wrapText="1"/>
    </xf>
    <xf numFmtId="0" fontId="37" fillId="35" borderId="22" xfId="0" applyFont="1" applyFill="1" applyBorder="1" applyAlignment="1">
      <alignment horizontal="center" vertical="top" wrapText="1"/>
    </xf>
    <xf numFmtId="43" fontId="37" fillId="35" borderId="24" xfId="42" applyFont="1" applyFill="1" applyBorder="1" applyAlignment="1">
      <alignment horizontal="center" wrapText="1"/>
    </xf>
    <xf numFmtId="43" fontId="37" fillId="35" borderId="28" xfId="42" applyFont="1" applyFill="1" applyBorder="1" applyAlignment="1">
      <alignment horizontal="center" wrapText="1"/>
    </xf>
    <xf numFmtId="2" fontId="1" fillId="0" borderId="0" xfId="44" applyNumberFormat="1"/>
    <xf numFmtId="0" fontId="1" fillId="0" borderId="0" xfId="44"/>
    <xf numFmtId="2" fontId="39" fillId="0" borderId="0" xfId="44" applyNumberFormat="1" applyFont="1"/>
    <xf numFmtId="2" fontId="40" fillId="0" borderId="0" xfId="44" applyNumberFormat="1" applyFont="1"/>
    <xf numFmtId="2" fontId="15" fillId="0" borderId="0" xfId="44" applyNumberFormat="1" applyFont="1"/>
    <xf numFmtId="2" fontId="41" fillId="0" borderId="0" xfId="44" applyNumberFormat="1" applyFont="1"/>
    <xf numFmtId="0" fontId="15" fillId="0" borderId="0" xfId="44" applyFont="1"/>
    <xf numFmtId="2" fontId="1" fillId="0" borderId="30" xfId="44" applyNumberFormat="1" applyBorder="1"/>
    <xf numFmtId="0" fontId="17" fillId="0" borderId="30" xfId="44" applyFont="1" applyBorder="1" applyAlignment="1">
      <alignment horizontal="center"/>
    </xf>
    <xf numFmtId="0" fontId="1" fillId="41" borderId="30" xfId="44" applyFill="1" applyBorder="1"/>
    <xf numFmtId="0" fontId="1" fillId="42" borderId="30" xfId="44" applyFill="1" applyBorder="1"/>
    <xf numFmtId="0" fontId="1" fillId="38" borderId="30" xfId="44" applyFill="1" applyBorder="1"/>
    <xf numFmtId="172" fontId="1" fillId="41" borderId="30" xfId="44" applyNumberFormat="1" applyFill="1" applyBorder="1"/>
    <xf numFmtId="172" fontId="1" fillId="42" borderId="30" xfId="44" applyNumberFormat="1" applyFill="1" applyBorder="1"/>
    <xf numFmtId="172" fontId="40" fillId="43" borderId="30" xfId="44" applyNumberFormat="1" applyFont="1" applyFill="1" applyBorder="1"/>
    <xf numFmtId="172" fontId="1" fillId="38" borderId="30" xfId="44" applyNumberFormat="1" applyFill="1" applyBorder="1"/>
    <xf numFmtId="172" fontId="1" fillId="44" borderId="30" xfId="44" applyNumberFormat="1" applyFill="1" applyBorder="1"/>
    <xf numFmtId="0" fontId="40" fillId="43" borderId="30" xfId="44" applyFont="1" applyFill="1" applyBorder="1"/>
    <xf numFmtId="10" fontId="0" fillId="0" borderId="0" xfId="45" applyNumberFormat="1" applyFont="1"/>
    <xf numFmtId="0" fontId="1" fillId="44" borderId="30" xfId="44" applyFill="1" applyBorder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iers 2" xfId="46"/>
    <cellStyle name="Milliers__ECHPLA_DTA_HX1" xfId="47"/>
    <cellStyle name="Neutral" xfId="8" builtinId="28" customBuiltin="1"/>
    <cellStyle name="Normal" xfId="0" builtinId="0" customBuiltin="1"/>
    <cellStyle name="Normal 2" xfId="44"/>
    <cellStyle name="Note" xfId="15" builtinId="10" customBuiltin="1"/>
    <cellStyle name="Output" xfId="10" builtinId="21" customBuiltin="1"/>
    <cellStyle name="Percent" xfId="43" builtinId="5"/>
    <cellStyle name="Percent 2" xfId="45"/>
    <cellStyle name="Pourcentage 2" xfId="48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isoT efficiency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4.1985948597251174E-2"/>
          <c:y val="2.8036665871311556E-2"/>
          <c:w val="0.84194270369910285"/>
          <c:h val="0.90870158275670088"/>
        </c:manualLayout>
      </c:layout>
      <c:scatterChart>
        <c:scatterStyle val="smoothMarker"/>
        <c:ser>
          <c:idx val="0"/>
          <c:order val="0"/>
          <c:tx>
            <c:strRef>
              <c:f>'comp efficiencies'!$B$8</c:f>
              <c:strCache>
                <c:ptCount val="1"/>
                <c:pt idx="0">
                  <c:v>LPL to MP</c:v>
                </c:pt>
              </c:strCache>
            </c:strRef>
          </c:tx>
          <c:xVal>
            <c:numRef>
              <c:f>'comp efficiencies'!$A$9:$A$26</c:f>
              <c:numCache>
                <c:formatCode>0.00</c:formatCode>
                <c:ptCount val="18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>
                  <c:v>10</c:v>
                </c:pt>
              </c:numCache>
            </c:numRef>
          </c:xVal>
          <c:yVal>
            <c:numRef>
              <c:f>'comp efficiencies'!$B$9:$B$26</c:f>
              <c:numCache>
                <c:formatCode>0.0</c:formatCode>
                <c:ptCount val="18"/>
                <c:pt idx="0">
                  <c:v>30.4</c:v>
                </c:pt>
                <c:pt idx="1">
                  <c:v>43.7</c:v>
                </c:pt>
                <c:pt idx="2">
                  <c:v>49.6</c:v>
                </c:pt>
                <c:pt idx="3">
                  <c:v>50.9</c:v>
                </c:pt>
                <c:pt idx="4">
                  <c:v>50.8</c:v>
                </c:pt>
                <c:pt idx="5">
                  <c:v>50.6</c:v>
                </c:pt>
                <c:pt idx="6">
                  <c:v>50.2</c:v>
                </c:pt>
                <c:pt idx="7">
                  <c:v>49.6</c:v>
                </c:pt>
                <c:pt idx="8">
                  <c:v>49</c:v>
                </c:pt>
                <c:pt idx="9">
                  <c:v>48.3</c:v>
                </c:pt>
                <c:pt idx="10">
                  <c:v>47.5</c:v>
                </c:pt>
                <c:pt idx="11">
                  <c:v>46.7</c:v>
                </c:pt>
                <c:pt idx="12">
                  <c:v>45.8</c:v>
                </c:pt>
                <c:pt idx="13">
                  <c:v>45</c:v>
                </c:pt>
                <c:pt idx="14">
                  <c:v>44.1</c:v>
                </c:pt>
                <c:pt idx="15">
                  <c:v>43.2</c:v>
                </c:pt>
                <c:pt idx="16">
                  <c:v>42.4</c:v>
                </c:pt>
                <c:pt idx="17">
                  <c:v>41.5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'comp efficiencies'!$C$8</c:f>
              <c:strCache>
                <c:ptCount val="1"/>
                <c:pt idx="0">
                  <c:v>LPR to MP</c:v>
                </c:pt>
              </c:strCache>
            </c:strRef>
          </c:tx>
          <c:xVal>
            <c:numRef>
              <c:f>'comp efficiencies'!$A$9:$A$26</c:f>
              <c:numCache>
                <c:formatCode>0.00</c:formatCode>
                <c:ptCount val="18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>
                  <c:v>10</c:v>
                </c:pt>
              </c:numCache>
            </c:numRef>
          </c:xVal>
          <c:yVal>
            <c:numRef>
              <c:f>'comp efficiencies'!$C$9:$C$26</c:f>
              <c:numCache>
                <c:formatCode>0.0</c:formatCode>
                <c:ptCount val="18"/>
                <c:pt idx="0">
                  <c:v>48.1</c:v>
                </c:pt>
                <c:pt idx="1">
                  <c:v>53.8</c:v>
                </c:pt>
                <c:pt idx="2">
                  <c:v>55.8</c:v>
                </c:pt>
                <c:pt idx="3">
                  <c:v>55.1</c:v>
                </c:pt>
                <c:pt idx="4">
                  <c:v>53.9</c:v>
                </c:pt>
                <c:pt idx="5">
                  <c:v>52.3</c:v>
                </c:pt>
                <c:pt idx="6">
                  <c:v>50.8</c:v>
                </c:pt>
                <c:pt idx="7">
                  <c:v>49.4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'comp efficiencies'!$D$8</c:f>
              <c:strCache>
                <c:ptCount val="1"/>
                <c:pt idx="0">
                  <c:v>MP to HP</c:v>
                </c:pt>
              </c:strCache>
            </c:strRef>
          </c:tx>
          <c:xVal>
            <c:numRef>
              <c:f>'comp efficiencies'!$A$9:$A$26</c:f>
              <c:numCache>
                <c:formatCode>0.00</c:formatCode>
                <c:ptCount val="18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>
                  <c:v>10</c:v>
                </c:pt>
              </c:numCache>
            </c:numRef>
          </c:xVal>
          <c:yVal>
            <c:numRef>
              <c:f>'comp efficiencies'!$D$9:$D$26</c:f>
              <c:numCache>
                <c:formatCode>0.0</c:formatCode>
                <c:ptCount val="18"/>
                <c:pt idx="2">
                  <c:v>52.5</c:v>
                </c:pt>
                <c:pt idx="3">
                  <c:v>52.9</c:v>
                </c:pt>
                <c:pt idx="4">
                  <c:v>53</c:v>
                </c:pt>
                <c:pt idx="5">
                  <c:v>52.4</c:v>
                </c:pt>
                <c:pt idx="6">
                  <c:v>51.3</c:v>
                </c:pt>
                <c:pt idx="7">
                  <c:v>50.1</c:v>
                </c:pt>
                <c:pt idx="8">
                  <c:v>48.7</c:v>
                </c:pt>
                <c:pt idx="9">
                  <c:v>47.4</c:v>
                </c:pt>
                <c:pt idx="10">
                  <c:v>46.2</c:v>
                </c:pt>
                <c:pt idx="11">
                  <c:v>45.4</c:v>
                </c:pt>
                <c:pt idx="12">
                  <c:v>44.5</c:v>
                </c:pt>
                <c:pt idx="13">
                  <c:v>43.7</c:v>
                </c:pt>
                <c:pt idx="14">
                  <c:v>42.9</c:v>
                </c:pt>
                <c:pt idx="15">
                  <c:v>42.2</c:v>
                </c:pt>
                <c:pt idx="16">
                  <c:v>41.5</c:v>
                </c:pt>
                <c:pt idx="17">
                  <c:v>40.9</c:v>
                </c:pt>
              </c:numCache>
            </c:numRef>
          </c:yVal>
          <c:smooth val="1"/>
        </c:ser>
        <c:axId val="279747584"/>
        <c:axId val="279929600"/>
      </c:scatterChart>
      <c:valAx>
        <c:axId val="279747584"/>
        <c:scaling>
          <c:orientation val="minMax"/>
        </c:scaling>
        <c:axPos val="b"/>
        <c:numFmt formatCode="0.00" sourceLinked="1"/>
        <c:tickLblPos val="nextTo"/>
        <c:crossAx val="279929600"/>
        <c:crosses val="autoZero"/>
        <c:crossBetween val="midCat"/>
      </c:valAx>
      <c:valAx>
        <c:axId val="279929600"/>
        <c:scaling>
          <c:orientation val="minMax"/>
        </c:scaling>
        <c:axPos val="l"/>
        <c:majorGridlines/>
        <c:numFmt formatCode="0.0" sourceLinked="1"/>
        <c:tickLblPos val="nextTo"/>
        <c:crossAx val="2797475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Volumetric efficiency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4.198594859725114E-2"/>
          <c:y val="2.8036665871311556E-2"/>
          <c:w val="0.84194270369910318"/>
          <c:h val="0.90870158275670088"/>
        </c:manualLayout>
      </c:layout>
      <c:scatterChart>
        <c:scatterStyle val="smoothMarker"/>
        <c:ser>
          <c:idx val="0"/>
          <c:order val="0"/>
          <c:tx>
            <c:strRef>
              <c:f>'comp efficiencies'!$B$8</c:f>
              <c:strCache>
                <c:ptCount val="1"/>
                <c:pt idx="0">
                  <c:v>LPL to MP</c:v>
                </c:pt>
              </c:strCache>
            </c:strRef>
          </c:tx>
          <c:xVal>
            <c:numRef>
              <c:f>'comp efficiencies'!$A$31:$A$48</c:f>
              <c:numCache>
                <c:formatCode>0.00</c:formatCode>
                <c:ptCount val="18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>
                  <c:v>10</c:v>
                </c:pt>
              </c:numCache>
            </c:numRef>
          </c:xVal>
          <c:yVal>
            <c:numRef>
              <c:f>'comp efficiencies'!$B$31:$B$48</c:f>
              <c:numCache>
                <c:formatCode>General</c:formatCode>
                <c:ptCount val="18"/>
                <c:pt idx="0">
                  <c:v>86.1</c:v>
                </c:pt>
                <c:pt idx="1">
                  <c:v>86.8</c:v>
                </c:pt>
                <c:pt idx="2">
                  <c:v>87.3</c:v>
                </c:pt>
                <c:pt idx="3">
                  <c:v>87.4</c:v>
                </c:pt>
                <c:pt idx="4">
                  <c:v>87.3</c:v>
                </c:pt>
                <c:pt idx="5">
                  <c:v>86.9</c:v>
                </c:pt>
                <c:pt idx="6">
                  <c:v>86.4</c:v>
                </c:pt>
                <c:pt idx="7">
                  <c:v>85.6</c:v>
                </c:pt>
                <c:pt idx="8">
                  <c:v>84.9</c:v>
                </c:pt>
                <c:pt idx="9">
                  <c:v>84.2</c:v>
                </c:pt>
                <c:pt idx="10">
                  <c:v>83.5</c:v>
                </c:pt>
                <c:pt idx="11">
                  <c:v>82.9</c:v>
                </c:pt>
                <c:pt idx="12">
                  <c:v>82.3</c:v>
                </c:pt>
                <c:pt idx="13">
                  <c:v>81.7</c:v>
                </c:pt>
                <c:pt idx="14">
                  <c:v>81.099999999999994</c:v>
                </c:pt>
                <c:pt idx="15">
                  <c:v>80.599999999999994</c:v>
                </c:pt>
                <c:pt idx="16">
                  <c:v>80.099999999999994</c:v>
                </c:pt>
                <c:pt idx="17">
                  <c:v>79.599999999999994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'comp efficiencies'!$C$8</c:f>
              <c:strCache>
                <c:ptCount val="1"/>
                <c:pt idx="0">
                  <c:v>LPR to MP</c:v>
                </c:pt>
              </c:strCache>
            </c:strRef>
          </c:tx>
          <c:xVal>
            <c:numRef>
              <c:f>'comp efficiencies'!$A$31:$A$48</c:f>
              <c:numCache>
                <c:formatCode>0.00</c:formatCode>
                <c:ptCount val="18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>
                  <c:v>10</c:v>
                </c:pt>
              </c:numCache>
            </c:numRef>
          </c:xVal>
          <c:yVal>
            <c:numRef>
              <c:f>'comp efficiencies'!$C$31:$C$48</c:f>
              <c:numCache>
                <c:formatCode>General</c:formatCode>
                <c:ptCount val="18"/>
                <c:pt idx="0">
                  <c:v>86.7</c:v>
                </c:pt>
                <c:pt idx="1">
                  <c:v>87.2</c:v>
                </c:pt>
                <c:pt idx="2">
                  <c:v>87.5</c:v>
                </c:pt>
                <c:pt idx="3">
                  <c:v>87.5</c:v>
                </c:pt>
                <c:pt idx="4">
                  <c:v>87.1</c:v>
                </c:pt>
                <c:pt idx="5">
                  <c:v>86.5</c:v>
                </c:pt>
                <c:pt idx="6">
                  <c:v>85.6</c:v>
                </c:pt>
                <c:pt idx="7">
                  <c:v>84.4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'comp efficiencies'!$D$8</c:f>
              <c:strCache>
                <c:ptCount val="1"/>
                <c:pt idx="0">
                  <c:v>MP to HP</c:v>
                </c:pt>
              </c:strCache>
            </c:strRef>
          </c:tx>
          <c:xVal>
            <c:numRef>
              <c:f>'comp efficiencies'!$A$31:$A$48</c:f>
              <c:numCache>
                <c:formatCode>0.00</c:formatCode>
                <c:ptCount val="18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>
                  <c:v>10</c:v>
                </c:pt>
              </c:numCache>
            </c:numRef>
          </c:xVal>
          <c:yVal>
            <c:numRef>
              <c:f>'comp efficiencies'!$D$31:$D$48</c:f>
              <c:numCache>
                <c:formatCode>General</c:formatCode>
                <c:ptCount val="18"/>
                <c:pt idx="2">
                  <c:v>78.7</c:v>
                </c:pt>
                <c:pt idx="3">
                  <c:v>79</c:v>
                </c:pt>
                <c:pt idx="4">
                  <c:v>79</c:v>
                </c:pt>
                <c:pt idx="5">
                  <c:v>78.7</c:v>
                </c:pt>
                <c:pt idx="6">
                  <c:v>78.3</c:v>
                </c:pt>
                <c:pt idx="7">
                  <c:v>77.8</c:v>
                </c:pt>
                <c:pt idx="8">
                  <c:v>77.3</c:v>
                </c:pt>
                <c:pt idx="9">
                  <c:v>76.900000000000006</c:v>
                </c:pt>
                <c:pt idx="10">
                  <c:v>76.599999999999994</c:v>
                </c:pt>
                <c:pt idx="11">
                  <c:v>76.3</c:v>
                </c:pt>
                <c:pt idx="12">
                  <c:v>76</c:v>
                </c:pt>
                <c:pt idx="13">
                  <c:v>75.8</c:v>
                </c:pt>
                <c:pt idx="14">
                  <c:v>75.7</c:v>
                </c:pt>
                <c:pt idx="15">
                  <c:v>75.5</c:v>
                </c:pt>
                <c:pt idx="16">
                  <c:v>75.400000000000006</c:v>
                </c:pt>
                <c:pt idx="17">
                  <c:v>75.3</c:v>
                </c:pt>
              </c:numCache>
            </c:numRef>
          </c:yVal>
          <c:smooth val="1"/>
        </c:ser>
        <c:axId val="279971712"/>
        <c:axId val="279973248"/>
      </c:scatterChart>
      <c:valAx>
        <c:axId val="279971712"/>
        <c:scaling>
          <c:orientation val="minMax"/>
        </c:scaling>
        <c:axPos val="b"/>
        <c:numFmt formatCode="0.00" sourceLinked="1"/>
        <c:tickLblPos val="nextTo"/>
        <c:crossAx val="279973248"/>
        <c:crosses val="autoZero"/>
        <c:crossBetween val="midCat"/>
      </c:valAx>
      <c:valAx>
        <c:axId val="279973248"/>
        <c:scaling>
          <c:orientation val="minMax"/>
          <c:min val="70"/>
        </c:scaling>
        <c:axPos val="l"/>
        <c:majorGridlines/>
        <c:numFmt formatCode="General" sourceLinked="1"/>
        <c:tickLblPos val="nextTo"/>
        <c:crossAx val="2799717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isoT efficiency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4.5241879650612646E-2"/>
          <c:y val="2.156208453568273E-2"/>
          <c:w val="0.84194270369910318"/>
          <c:h val="0.90870158275670088"/>
        </c:manualLayout>
      </c:layout>
      <c:scatterChart>
        <c:scatterStyle val="smoothMarker"/>
        <c:ser>
          <c:idx val="0"/>
          <c:order val="0"/>
          <c:tx>
            <c:strRef>
              <c:f>'comp efficiencies'!$B$8</c:f>
              <c:strCache>
                <c:ptCount val="1"/>
                <c:pt idx="0">
                  <c:v>LPL to MP</c:v>
                </c:pt>
              </c:strCache>
            </c:strRef>
          </c:tx>
          <c:trendline>
            <c:trendlineType val="poly"/>
            <c:order val="6"/>
            <c:dispRSqr val="1"/>
            <c:dispEq val="1"/>
            <c:trendlineLbl>
              <c:layout>
                <c:manualLayout>
                  <c:x val="-0.15566093377990467"/>
                  <c:y val="0.2520229859933201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chemeClr val="accent1"/>
                      </a:solidFill>
                    </a:defRPr>
                  </a:pPr>
                  <a:endParaRPr lang="fr-FR"/>
                </a:p>
              </c:txPr>
            </c:trendlineLbl>
          </c:trendline>
          <c:xVal>
            <c:numRef>
              <c:f>'comp efficiencies'!$A$9:$A$26</c:f>
              <c:numCache>
                <c:formatCode>0.00</c:formatCode>
                <c:ptCount val="18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>
                  <c:v>10</c:v>
                </c:pt>
              </c:numCache>
            </c:numRef>
          </c:xVal>
          <c:yVal>
            <c:numRef>
              <c:f>'comp efficiencies'!$B$9:$B$26</c:f>
              <c:numCache>
                <c:formatCode>0.0</c:formatCode>
                <c:ptCount val="18"/>
                <c:pt idx="0">
                  <c:v>30.4</c:v>
                </c:pt>
                <c:pt idx="1">
                  <c:v>43.7</c:v>
                </c:pt>
                <c:pt idx="2">
                  <c:v>49.6</c:v>
                </c:pt>
                <c:pt idx="3">
                  <c:v>50.9</c:v>
                </c:pt>
                <c:pt idx="4">
                  <c:v>50.8</c:v>
                </c:pt>
                <c:pt idx="5">
                  <c:v>50.6</c:v>
                </c:pt>
                <c:pt idx="6">
                  <c:v>50.2</c:v>
                </c:pt>
                <c:pt idx="7">
                  <c:v>49.6</c:v>
                </c:pt>
                <c:pt idx="8">
                  <c:v>49</c:v>
                </c:pt>
                <c:pt idx="9">
                  <c:v>48.3</c:v>
                </c:pt>
                <c:pt idx="10">
                  <c:v>47.5</c:v>
                </c:pt>
                <c:pt idx="11">
                  <c:v>46.7</c:v>
                </c:pt>
                <c:pt idx="12">
                  <c:v>45.8</c:v>
                </c:pt>
                <c:pt idx="13">
                  <c:v>45</c:v>
                </c:pt>
                <c:pt idx="14">
                  <c:v>44.1</c:v>
                </c:pt>
                <c:pt idx="15">
                  <c:v>43.2</c:v>
                </c:pt>
                <c:pt idx="16">
                  <c:v>42.4</c:v>
                </c:pt>
                <c:pt idx="17">
                  <c:v>41.5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'comp efficiencies'!$C$8</c:f>
              <c:strCache>
                <c:ptCount val="1"/>
                <c:pt idx="0">
                  <c:v>LPR to MP</c:v>
                </c:pt>
              </c:strCache>
            </c:strRef>
          </c:tx>
          <c:trendline>
            <c:trendlineType val="poly"/>
            <c:order val="6"/>
            <c:dispRSqr val="1"/>
            <c:dispEq val="1"/>
            <c:trendlineLbl>
              <c:layout>
                <c:manualLayout>
                  <c:x val="7.0326078109981191E-2"/>
                  <c:y val="0.5258665459165524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C00000"/>
                      </a:solidFill>
                    </a:defRPr>
                  </a:pPr>
                  <a:endParaRPr lang="fr-FR"/>
                </a:p>
              </c:txPr>
            </c:trendlineLbl>
          </c:trendline>
          <c:xVal>
            <c:numRef>
              <c:f>'comp efficiencies'!$A$9:$A$16</c:f>
              <c:numCache>
                <c:formatCode>0.00</c:formatCode>
                <c:ptCount val="8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</c:numCache>
            </c:numRef>
          </c:xVal>
          <c:yVal>
            <c:numRef>
              <c:f>'comp efficiencies'!$C$9:$C$16</c:f>
              <c:numCache>
                <c:formatCode>0.0</c:formatCode>
                <c:ptCount val="8"/>
                <c:pt idx="0">
                  <c:v>48.1</c:v>
                </c:pt>
                <c:pt idx="1">
                  <c:v>53.8</c:v>
                </c:pt>
                <c:pt idx="2">
                  <c:v>55.8</c:v>
                </c:pt>
                <c:pt idx="3">
                  <c:v>55.1</c:v>
                </c:pt>
                <c:pt idx="4">
                  <c:v>53.9</c:v>
                </c:pt>
                <c:pt idx="5">
                  <c:v>52.3</c:v>
                </c:pt>
                <c:pt idx="6">
                  <c:v>50.8</c:v>
                </c:pt>
                <c:pt idx="7">
                  <c:v>49.4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'comp efficiencies'!$D$8</c:f>
              <c:strCache>
                <c:ptCount val="1"/>
                <c:pt idx="0">
                  <c:v>MP to HP</c:v>
                </c:pt>
              </c:strCache>
            </c:strRef>
          </c:tx>
          <c:trendline>
            <c:trendlineType val="poly"/>
            <c:order val="6"/>
            <c:dispRSqr val="1"/>
            <c:dispEq val="1"/>
            <c:trendlineLbl>
              <c:layout>
                <c:manualLayout>
                  <c:x val="-0.17397842389227269"/>
                  <c:y val="0.53657051087259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92D050"/>
                      </a:solidFill>
                    </a:defRPr>
                  </a:pPr>
                  <a:endParaRPr lang="fr-FR"/>
                </a:p>
              </c:txPr>
            </c:trendlineLbl>
          </c:trendline>
          <c:xVal>
            <c:numRef>
              <c:f>'comp efficiencies'!$A$11:$A$26</c:f>
              <c:numCache>
                <c:formatCode>0.00</c:formatCode>
                <c:ptCount val="16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  <c:pt idx="8">
                  <c:v>6.5</c:v>
                </c:pt>
                <c:pt idx="9">
                  <c:v>7</c:v>
                </c:pt>
                <c:pt idx="10">
                  <c:v>7.5</c:v>
                </c:pt>
                <c:pt idx="11">
                  <c:v>8</c:v>
                </c:pt>
                <c:pt idx="12">
                  <c:v>8.5</c:v>
                </c:pt>
                <c:pt idx="13">
                  <c:v>9</c:v>
                </c:pt>
                <c:pt idx="14">
                  <c:v>9.5</c:v>
                </c:pt>
                <c:pt idx="15">
                  <c:v>10</c:v>
                </c:pt>
              </c:numCache>
            </c:numRef>
          </c:xVal>
          <c:yVal>
            <c:numRef>
              <c:f>'comp efficiencies'!$D$11:$D$26</c:f>
              <c:numCache>
                <c:formatCode>0.0</c:formatCode>
                <c:ptCount val="16"/>
                <c:pt idx="0">
                  <c:v>52.5</c:v>
                </c:pt>
                <c:pt idx="1">
                  <c:v>52.9</c:v>
                </c:pt>
                <c:pt idx="2">
                  <c:v>53</c:v>
                </c:pt>
                <c:pt idx="3">
                  <c:v>52.4</c:v>
                </c:pt>
                <c:pt idx="4">
                  <c:v>51.3</c:v>
                </c:pt>
                <c:pt idx="5">
                  <c:v>50.1</c:v>
                </c:pt>
                <c:pt idx="6">
                  <c:v>48.7</c:v>
                </c:pt>
                <c:pt idx="7">
                  <c:v>47.4</c:v>
                </c:pt>
                <c:pt idx="8">
                  <c:v>46.2</c:v>
                </c:pt>
                <c:pt idx="9">
                  <c:v>45.4</c:v>
                </c:pt>
                <c:pt idx="10">
                  <c:v>44.5</c:v>
                </c:pt>
                <c:pt idx="11">
                  <c:v>43.7</c:v>
                </c:pt>
                <c:pt idx="12">
                  <c:v>42.9</c:v>
                </c:pt>
                <c:pt idx="13">
                  <c:v>42.2</c:v>
                </c:pt>
                <c:pt idx="14">
                  <c:v>41.5</c:v>
                </c:pt>
                <c:pt idx="15">
                  <c:v>40.9</c:v>
                </c:pt>
              </c:numCache>
            </c:numRef>
          </c:yVal>
          <c:smooth val="1"/>
        </c:ser>
        <c:ser>
          <c:idx val="3"/>
          <c:order val="3"/>
          <c:tx>
            <c:v>Point LPL to MP</c:v>
          </c:tx>
          <c:marker>
            <c:symbol val="circle"/>
            <c:size val="9"/>
          </c:marker>
          <c:xVal>
            <c:numRef>
              <c:f>'comp efficiencies'!$M$4</c:f>
              <c:numCache>
                <c:formatCode>0.00</c:formatCode>
                <c:ptCount val="1"/>
                <c:pt idx="0">
                  <c:v>5.7714285714285705</c:v>
                </c:pt>
              </c:numCache>
            </c:numRef>
          </c:xVal>
          <c:yVal>
            <c:numRef>
              <c:f>'comp efficiencies'!$Q$4</c:f>
              <c:numCache>
                <c:formatCode>0.00</c:formatCode>
                <c:ptCount val="1"/>
                <c:pt idx="0">
                  <c:v>48.628787444824425</c:v>
                </c:pt>
              </c:numCache>
            </c:numRef>
          </c:yVal>
          <c:smooth val="1"/>
        </c:ser>
        <c:ser>
          <c:idx val="4"/>
          <c:order val="4"/>
          <c:tx>
            <c:v>Point LPR to MP</c:v>
          </c:tx>
          <c:spPr>
            <a:ln w="34925"/>
          </c:spPr>
          <c:marker>
            <c:symbol val="circle"/>
            <c:size val="10"/>
          </c:marker>
          <c:xVal>
            <c:numRef>
              <c:f>'comp efficiencies'!$M$3</c:f>
              <c:numCache>
                <c:formatCode>0.00</c:formatCode>
                <c:ptCount val="1"/>
                <c:pt idx="0">
                  <c:v>2.6256499133448874</c:v>
                </c:pt>
              </c:numCache>
            </c:numRef>
          </c:xVal>
          <c:yVal>
            <c:numRef>
              <c:f>'comp efficiencies'!$N$3</c:f>
              <c:numCache>
                <c:formatCode>0.00</c:formatCode>
                <c:ptCount val="1"/>
                <c:pt idx="0">
                  <c:v>55.773482098098548</c:v>
                </c:pt>
              </c:numCache>
            </c:numRef>
          </c:yVal>
          <c:smooth val="1"/>
        </c:ser>
        <c:ser>
          <c:idx val="5"/>
          <c:order val="5"/>
          <c:tx>
            <c:v>Point MP to HP</c:v>
          </c:tx>
          <c:marker>
            <c:symbol val="circle"/>
            <c:size val="9"/>
          </c:marker>
          <c:xVal>
            <c:numRef>
              <c:f>'comp efficiencies'!$M$2</c:f>
              <c:numCache>
                <c:formatCode>0.00</c:formatCode>
                <c:ptCount val="1"/>
                <c:pt idx="0">
                  <c:v>3.1353135313531357</c:v>
                </c:pt>
              </c:numCache>
            </c:numRef>
          </c:xVal>
          <c:yVal>
            <c:numRef>
              <c:f>'comp efficiencies'!$N$2</c:f>
              <c:numCache>
                <c:formatCode>0.00</c:formatCode>
                <c:ptCount val="1"/>
                <c:pt idx="0">
                  <c:v>53.071570809579342</c:v>
                </c:pt>
              </c:numCache>
            </c:numRef>
          </c:yVal>
          <c:smooth val="1"/>
        </c:ser>
        <c:axId val="169769600"/>
        <c:axId val="169775488"/>
      </c:scatterChart>
      <c:valAx>
        <c:axId val="169769600"/>
        <c:scaling>
          <c:orientation val="minMax"/>
        </c:scaling>
        <c:axPos val="b"/>
        <c:numFmt formatCode="0.00" sourceLinked="1"/>
        <c:tickLblPos val="nextTo"/>
        <c:crossAx val="169775488"/>
        <c:crosses val="autoZero"/>
        <c:crossBetween val="midCat"/>
      </c:valAx>
      <c:valAx>
        <c:axId val="169775488"/>
        <c:scaling>
          <c:orientation val="minMax"/>
        </c:scaling>
        <c:axPos val="l"/>
        <c:majorGridlines/>
        <c:numFmt formatCode="0.0" sourceLinked="1"/>
        <c:tickLblPos val="nextTo"/>
        <c:crossAx val="1697696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volumetric efficiency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4.1985948597251112E-2"/>
          <c:y val="2.8036665871311556E-2"/>
          <c:w val="0.84194270369910362"/>
          <c:h val="0.90870158275670088"/>
        </c:manualLayout>
      </c:layout>
      <c:scatterChart>
        <c:scatterStyle val="smoothMarker"/>
        <c:ser>
          <c:idx val="0"/>
          <c:order val="0"/>
          <c:tx>
            <c:strRef>
              <c:f>'comp efficiencies'!$B$8</c:f>
              <c:strCache>
                <c:ptCount val="1"/>
                <c:pt idx="0">
                  <c:v>LPL to MP</c:v>
                </c:pt>
              </c:strCache>
            </c:strRef>
          </c:tx>
          <c:trendline>
            <c:trendlineType val="poly"/>
            <c:order val="6"/>
            <c:dispRSqr val="1"/>
            <c:dispEq val="1"/>
            <c:trendlineLbl>
              <c:layout>
                <c:manualLayout>
                  <c:x val="-0.18873221951729835"/>
                  <c:y val="-5.916329252365742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chemeClr val="accent1"/>
                      </a:solidFill>
                    </a:defRPr>
                  </a:pPr>
                  <a:endParaRPr lang="fr-FR"/>
                </a:p>
              </c:txPr>
            </c:trendlineLbl>
          </c:trendline>
          <c:xVal>
            <c:numRef>
              <c:f>'comp efficiencies'!$A$31:$A$48</c:f>
              <c:numCache>
                <c:formatCode>0.00</c:formatCode>
                <c:ptCount val="18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6.5</c:v>
                </c:pt>
                <c:pt idx="11">
                  <c:v>7</c:v>
                </c:pt>
                <c:pt idx="12">
                  <c:v>7.5</c:v>
                </c:pt>
                <c:pt idx="13">
                  <c:v>8</c:v>
                </c:pt>
                <c:pt idx="14">
                  <c:v>8.5</c:v>
                </c:pt>
                <c:pt idx="15">
                  <c:v>9</c:v>
                </c:pt>
                <c:pt idx="16">
                  <c:v>9.5</c:v>
                </c:pt>
                <c:pt idx="17">
                  <c:v>10</c:v>
                </c:pt>
              </c:numCache>
            </c:numRef>
          </c:xVal>
          <c:yVal>
            <c:numRef>
              <c:f>'comp efficiencies'!$B$31:$B$48</c:f>
              <c:numCache>
                <c:formatCode>General</c:formatCode>
                <c:ptCount val="18"/>
                <c:pt idx="0">
                  <c:v>86.1</c:v>
                </c:pt>
                <c:pt idx="1">
                  <c:v>86.8</c:v>
                </c:pt>
                <c:pt idx="2">
                  <c:v>87.3</c:v>
                </c:pt>
                <c:pt idx="3">
                  <c:v>87.4</c:v>
                </c:pt>
                <c:pt idx="4">
                  <c:v>87.3</c:v>
                </c:pt>
                <c:pt idx="5">
                  <c:v>86.9</c:v>
                </c:pt>
                <c:pt idx="6">
                  <c:v>86.4</c:v>
                </c:pt>
                <c:pt idx="7">
                  <c:v>85.6</c:v>
                </c:pt>
                <c:pt idx="8">
                  <c:v>84.9</c:v>
                </c:pt>
                <c:pt idx="9">
                  <c:v>84.2</c:v>
                </c:pt>
                <c:pt idx="10">
                  <c:v>83.5</c:v>
                </c:pt>
                <c:pt idx="11">
                  <c:v>82.9</c:v>
                </c:pt>
                <c:pt idx="12">
                  <c:v>82.3</c:v>
                </c:pt>
                <c:pt idx="13">
                  <c:v>81.7</c:v>
                </c:pt>
                <c:pt idx="14">
                  <c:v>81.099999999999994</c:v>
                </c:pt>
                <c:pt idx="15">
                  <c:v>80.599999999999994</c:v>
                </c:pt>
                <c:pt idx="16">
                  <c:v>80.099999999999994</c:v>
                </c:pt>
                <c:pt idx="17">
                  <c:v>79.599999999999994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'comp efficiencies'!$C$8</c:f>
              <c:strCache>
                <c:ptCount val="1"/>
                <c:pt idx="0">
                  <c:v>LPR to MP</c:v>
                </c:pt>
              </c:strCache>
            </c:strRef>
          </c:tx>
          <c:trendline>
            <c:trendlineType val="poly"/>
            <c:order val="6"/>
            <c:dispRSqr val="1"/>
            <c:dispEq val="1"/>
            <c:trendlineLbl>
              <c:layout>
                <c:manualLayout>
                  <c:x val="3.761627433789691E-2"/>
                  <c:y val="9.0025256839600706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C00000"/>
                      </a:solidFill>
                    </a:defRPr>
                  </a:pPr>
                  <a:endParaRPr lang="fr-FR"/>
                </a:p>
              </c:txPr>
            </c:trendlineLbl>
          </c:trendline>
          <c:xVal>
            <c:numRef>
              <c:f>'comp efficiencies'!$A$31:$A$38</c:f>
              <c:numCache>
                <c:formatCode>0.00</c:formatCode>
                <c:ptCount val="8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5</c:v>
                </c:pt>
              </c:numCache>
            </c:numRef>
          </c:xVal>
          <c:yVal>
            <c:numRef>
              <c:f>'comp efficiencies'!$C$31:$C$38</c:f>
              <c:numCache>
                <c:formatCode>General</c:formatCode>
                <c:ptCount val="8"/>
                <c:pt idx="0">
                  <c:v>86.7</c:v>
                </c:pt>
                <c:pt idx="1">
                  <c:v>87.2</c:v>
                </c:pt>
                <c:pt idx="2">
                  <c:v>87.5</c:v>
                </c:pt>
                <c:pt idx="3">
                  <c:v>87.5</c:v>
                </c:pt>
                <c:pt idx="4">
                  <c:v>87.1</c:v>
                </c:pt>
                <c:pt idx="5">
                  <c:v>86.5</c:v>
                </c:pt>
                <c:pt idx="6">
                  <c:v>85.6</c:v>
                </c:pt>
                <c:pt idx="7">
                  <c:v>84.4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'comp efficiencies'!$D$8</c:f>
              <c:strCache>
                <c:ptCount val="1"/>
                <c:pt idx="0">
                  <c:v>MP to HP</c:v>
                </c:pt>
              </c:strCache>
            </c:strRef>
          </c:tx>
          <c:trendline>
            <c:trendlineType val="poly"/>
            <c:order val="6"/>
            <c:dispRSqr val="1"/>
            <c:dispEq val="1"/>
            <c:trendlineLbl>
              <c:layout>
                <c:manualLayout>
                  <c:x val="-0.16876288431443962"/>
                  <c:y val="7.9607429992021976E-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92D050"/>
                      </a:solidFill>
                    </a:defRPr>
                  </a:pPr>
                  <a:endParaRPr lang="fr-FR"/>
                </a:p>
              </c:txPr>
            </c:trendlineLbl>
          </c:trendline>
          <c:xVal>
            <c:numRef>
              <c:f>'comp efficiencies'!$A$33:$A$48</c:f>
              <c:numCache>
                <c:formatCode>0.00</c:formatCode>
                <c:ptCount val="16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  <c:pt idx="8">
                  <c:v>6.5</c:v>
                </c:pt>
                <c:pt idx="9">
                  <c:v>7</c:v>
                </c:pt>
                <c:pt idx="10">
                  <c:v>7.5</c:v>
                </c:pt>
                <c:pt idx="11">
                  <c:v>8</c:v>
                </c:pt>
                <c:pt idx="12">
                  <c:v>8.5</c:v>
                </c:pt>
                <c:pt idx="13">
                  <c:v>9</c:v>
                </c:pt>
                <c:pt idx="14">
                  <c:v>9.5</c:v>
                </c:pt>
                <c:pt idx="15">
                  <c:v>10</c:v>
                </c:pt>
              </c:numCache>
            </c:numRef>
          </c:xVal>
          <c:yVal>
            <c:numRef>
              <c:f>'comp efficiencies'!$D$33:$D$48</c:f>
              <c:numCache>
                <c:formatCode>General</c:formatCode>
                <c:ptCount val="16"/>
                <c:pt idx="0">
                  <c:v>78.7</c:v>
                </c:pt>
                <c:pt idx="1">
                  <c:v>79</c:v>
                </c:pt>
                <c:pt idx="2">
                  <c:v>79</c:v>
                </c:pt>
                <c:pt idx="3">
                  <c:v>78.7</c:v>
                </c:pt>
                <c:pt idx="4">
                  <c:v>78.3</c:v>
                </c:pt>
                <c:pt idx="5">
                  <c:v>77.8</c:v>
                </c:pt>
                <c:pt idx="6">
                  <c:v>77.3</c:v>
                </c:pt>
                <c:pt idx="7">
                  <c:v>76.900000000000006</c:v>
                </c:pt>
                <c:pt idx="8">
                  <c:v>76.599999999999994</c:v>
                </c:pt>
                <c:pt idx="9">
                  <c:v>76.3</c:v>
                </c:pt>
                <c:pt idx="10">
                  <c:v>76</c:v>
                </c:pt>
                <c:pt idx="11">
                  <c:v>75.8</c:v>
                </c:pt>
                <c:pt idx="12">
                  <c:v>75.7</c:v>
                </c:pt>
                <c:pt idx="13">
                  <c:v>75.5</c:v>
                </c:pt>
                <c:pt idx="14">
                  <c:v>75.400000000000006</c:v>
                </c:pt>
                <c:pt idx="15">
                  <c:v>75.3</c:v>
                </c:pt>
              </c:numCache>
            </c:numRef>
          </c:yVal>
          <c:smooth val="1"/>
        </c:ser>
        <c:ser>
          <c:idx val="3"/>
          <c:order val="3"/>
          <c:tx>
            <c:v>Point MP to HP</c:v>
          </c:tx>
          <c:marker>
            <c:symbol val="circle"/>
            <c:size val="9"/>
          </c:marker>
          <c:xVal>
            <c:numRef>
              <c:f>'comp efficiencies'!$M$2</c:f>
              <c:numCache>
                <c:formatCode>0.00</c:formatCode>
                <c:ptCount val="1"/>
                <c:pt idx="0">
                  <c:v>3.1353135313531357</c:v>
                </c:pt>
              </c:numCache>
            </c:numRef>
          </c:xVal>
          <c:yVal>
            <c:numRef>
              <c:f>'comp efficiencies'!$R$2</c:f>
              <c:numCache>
                <c:formatCode>0.00</c:formatCode>
                <c:ptCount val="1"/>
                <c:pt idx="0">
                  <c:v>79.042186730743012</c:v>
                </c:pt>
              </c:numCache>
            </c:numRef>
          </c:yVal>
          <c:smooth val="1"/>
        </c:ser>
        <c:ser>
          <c:idx val="4"/>
          <c:order val="4"/>
          <c:tx>
            <c:v>Point LPR to MP</c:v>
          </c:tx>
          <c:marker>
            <c:symbol val="circle"/>
            <c:size val="9"/>
          </c:marker>
          <c:xVal>
            <c:numRef>
              <c:f>'comp efficiencies'!$M$3</c:f>
              <c:numCache>
                <c:formatCode>0.00</c:formatCode>
                <c:ptCount val="1"/>
                <c:pt idx="0">
                  <c:v>2.6256499133448874</c:v>
                </c:pt>
              </c:numCache>
            </c:numRef>
          </c:xVal>
          <c:yVal>
            <c:numRef>
              <c:f>'comp efficiencies'!$R$3</c:f>
              <c:numCache>
                <c:formatCode>0.00</c:formatCode>
                <c:ptCount val="1"/>
                <c:pt idx="0">
                  <c:v>87.51880831297521</c:v>
                </c:pt>
              </c:numCache>
            </c:numRef>
          </c:yVal>
          <c:smooth val="1"/>
        </c:ser>
        <c:ser>
          <c:idx val="5"/>
          <c:order val="5"/>
          <c:tx>
            <c:v>Point LPL to MP</c:v>
          </c:tx>
          <c:xVal>
            <c:numRef>
              <c:f>'comp efficiencies'!$M$4</c:f>
              <c:numCache>
                <c:formatCode>0.00</c:formatCode>
                <c:ptCount val="1"/>
                <c:pt idx="0">
                  <c:v>5.7714285714285705</c:v>
                </c:pt>
              </c:numCache>
            </c:numRef>
          </c:xVal>
          <c:yVal>
            <c:numRef>
              <c:f>'comp efficiencies'!$R$4</c:f>
              <c:numCache>
                <c:formatCode>0.00</c:formatCode>
                <c:ptCount val="1"/>
                <c:pt idx="0">
                  <c:v>84.418132560750152</c:v>
                </c:pt>
              </c:numCache>
            </c:numRef>
          </c:yVal>
          <c:smooth val="1"/>
        </c:ser>
        <c:axId val="232741504"/>
        <c:axId val="232751488"/>
      </c:scatterChart>
      <c:valAx>
        <c:axId val="232741504"/>
        <c:scaling>
          <c:orientation val="minMax"/>
        </c:scaling>
        <c:axPos val="b"/>
        <c:numFmt formatCode="0.00" sourceLinked="1"/>
        <c:tickLblPos val="nextTo"/>
        <c:crossAx val="232751488"/>
        <c:crosses val="autoZero"/>
        <c:crossBetween val="midCat"/>
      </c:valAx>
      <c:valAx>
        <c:axId val="232751488"/>
        <c:scaling>
          <c:orientation val="minMax"/>
        </c:scaling>
        <c:axPos val="l"/>
        <c:majorGridlines/>
        <c:numFmt formatCode="General" sourceLinked="1"/>
        <c:tickLblPos val="nextTo"/>
        <c:crossAx val="23274150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gif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693964</xdr:colOff>
      <xdr:row>17</xdr:row>
      <xdr:rowOff>163285</xdr:rowOff>
    </xdr:from>
    <xdr:to>
      <xdr:col>28</xdr:col>
      <xdr:colOff>231321</xdr:colOff>
      <xdr:row>26</xdr:row>
      <xdr:rowOff>220434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31535" y="2612571"/>
          <a:ext cx="8259536" cy="28330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29695</xdr:colOff>
      <xdr:row>23</xdr:row>
      <xdr:rowOff>168089</xdr:rowOff>
    </xdr:from>
    <xdr:to>
      <xdr:col>37</xdr:col>
      <xdr:colOff>105896</xdr:colOff>
      <xdr:row>53</xdr:row>
      <xdr:rowOff>4483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55430" y="4796118"/>
          <a:ext cx="9758083" cy="52152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529937</xdr:colOff>
      <xdr:row>5</xdr:row>
      <xdr:rowOff>19916</xdr:rowOff>
    </xdr:from>
    <xdr:to>
      <xdr:col>36</xdr:col>
      <xdr:colOff>50223</xdr:colOff>
      <xdr:row>21</xdr:row>
      <xdr:rowOff>153266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66664" y="1232189"/>
          <a:ext cx="9720696" cy="3181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44</xdr:row>
      <xdr:rowOff>4076</xdr:rowOff>
    </xdr:from>
    <xdr:to>
      <xdr:col>10</xdr:col>
      <xdr:colOff>260587</xdr:colOff>
      <xdr:row>73</xdr:row>
      <xdr:rowOff>60920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8645849"/>
          <a:ext cx="6339269" cy="45768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486311</xdr:colOff>
      <xdr:row>11</xdr:row>
      <xdr:rowOff>140711</xdr:rowOff>
    </xdr:from>
    <xdr:to>
      <xdr:col>22</xdr:col>
      <xdr:colOff>207744</xdr:colOff>
      <xdr:row>38</xdr:row>
      <xdr:rowOff>149447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67811" y="2474336"/>
          <a:ext cx="7841496" cy="5152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476250</xdr:colOff>
      <xdr:row>38</xdr:row>
      <xdr:rowOff>195262</xdr:rowOff>
    </xdr:from>
    <xdr:to>
      <xdr:col>22</xdr:col>
      <xdr:colOff>504825</xdr:colOff>
      <xdr:row>49</xdr:row>
      <xdr:rowOff>133349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14900" y="7710487"/>
          <a:ext cx="8277225" cy="1833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285750</xdr:colOff>
      <xdr:row>10</xdr:row>
      <xdr:rowOff>85725</xdr:rowOff>
    </xdr:from>
    <xdr:to>
      <xdr:col>36</xdr:col>
      <xdr:colOff>142875</xdr:colOff>
      <xdr:row>23</xdr:row>
      <xdr:rowOff>19050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06175" y="1704975"/>
          <a:ext cx="8924925" cy="2038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266700</xdr:colOff>
      <xdr:row>27</xdr:row>
      <xdr:rowOff>37042</xdr:rowOff>
    </xdr:from>
    <xdr:to>
      <xdr:col>16</xdr:col>
      <xdr:colOff>114300</xdr:colOff>
      <xdr:row>36</xdr:row>
      <xdr:rowOff>133350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0" y="2465917"/>
          <a:ext cx="4648200" cy="15536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240846</xdr:colOff>
      <xdr:row>60</xdr:row>
      <xdr:rowOff>4082</xdr:rowOff>
    </xdr:from>
    <xdr:to>
      <xdr:col>12</xdr:col>
      <xdr:colOff>97971</xdr:colOff>
      <xdr:row>82</xdr:row>
      <xdr:rowOff>61232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0846" y="9801225"/>
          <a:ext cx="7123339" cy="36494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171450</xdr:colOff>
      <xdr:row>29</xdr:row>
      <xdr:rowOff>104775</xdr:rowOff>
    </xdr:from>
    <xdr:to>
      <xdr:col>9</xdr:col>
      <xdr:colOff>352425</xdr:colOff>
      <xdr:row>53</xdr:row>
      <xdr:rowOff>38100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4850" y="4800600"/>
          <a:ext cx="5334000" cy="3819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18</xdr:col>
      <xdr:colOff>457200</xdr:colOff>
      <xdr:row>28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19125" y="0"/>
          <a:ext cx="10325100" cy="4657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485775</xdr:colOff>
      <xdr:row>28</xdr:row>
      <xdr:rowOff>9525</xdr:rowOff>
    </xdr:from>
    <xdr:to>
      <xdr:col>17</xdr:col>
      <xdr:colOff>352425</xdr:colOff>
      <xdr:row>72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72200" y="4543425"/>
          <a:ext cx="4133850" cy="7229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57150</xdr:colOff>
      <xdr:row>5</xdr:row>
      <xdr:rowOff>114300</xdr:rowOff>
    </xdr:from>
    <xdr:to>
      <xdr:col>38</xdr:col>
      <xdr:colOff>76200</xdr:colOff>
      <xdr:row>49</xdr:row>
      <xdr:rowOff>85725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077575" y="923925"/>
          <a:ext cx="10153650" cy="709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87</xdr:row>
      <xdr:rowOff>95250</xdr:rowOff>
    </xdr:from>
    <xdr:to>
      <xdr:col>9</xdr:col>
      <xdr:colOff>0</xdr:colOff>
      <xdr:row>108</xdr:row>
      <xdr:rowOff>38100</xdr:rowOff>
    </xdr:to>
    <xdr:pic>
      <xdr:nvPicPr>
        <xdr:cNvPr id="2" name="Picture 1" descr="D:\Users\vincent.heloin\Documents\Training\aaa\Compressor\Mycom\Capacity - 1 Stage a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400" y="14182725"/>
          <a:ext cx="5153025" cy="33432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381000</xdr:colOff>
      <xdr:row>85</xdr:row>
      <xdr:rowOff>133350</xdr:rowOff>
    </xdr:from>
    <xdr:to>
      <xdr:col>17</xdr:col>
      <xdr:colOff>390525</xdr:colOff>
      <xdr:row>122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67425" y="13896975"/>
          <a:ext cx="4276725" cy="5895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272142</xdr:colOff>
      <xdr:row>84</xdr:row>
      <xdr:rowOff>68035</xdr:rowOff>
    </xdr:from>
    <xdr:to>
      <xdr:col>26</xdr:col>
      <xdr:colOff>179614</xdr:colOff>
      <xdr:row>120</xdr:row>
      <xdr:rowOff>144235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22428" y="13784035"/>
          <a:ext cx="4152900" cy="59544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6</xdr:row>
      <xdr:rowOff>0</xdr:rowOff>
    </xdr:from>
    <xdr:to>
      <xdr:col>14</xdr:col>
      <xdr:colOff>202407</xdr:colOff>
      <xdr:row>26</xdr:row>
      <xdr:rowOff>23813</xdr:rowOff>
    </xdr:to>
    <xdr:graphicFrame macro="">
      <xdr:nvGraphicFramePr>
        <xdr:cNvPr id="2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28</xdr:row>
      <xdr:rowOff>0</xdr:rowOff>
    </xdr:from>
    <xdr:to>
      <xdr:col>14</xdr:col>
      <xdr:colOff>145256</xdr:colOff>
      <xdr:row>48</xdr:row>
      <xdr:rowOff>23813</xdr:rowOff>
    </xdr:to>
    <xdr:graphicFrame macro="">
      <xdr:nvGraphicFramePr>
        <xdr:cNvPr id="3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738188</xdr:colOff>
      <xdr:row>6</xdr:row>
      <xdr:rowOff>23812</xdr:rowOff>
    </xdr:from>
    <xdr:to>
      <xdr:col>25</xdr:col>
      <xdr:colOff>121444</xdr:colOff>
      <xdr:row>26</xdr:row>
      <xdr:rowOff>47625</xdr:rowOff>
    </xdr:to>
    <xdr:graphicFrame macro="">
      <xdr:nvGraphicFramePr>
        <xdr:cNvPr id="4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28</xdr:row>
      <xdr:rowOff>0</xdr:rowOff>
    </xdr:from>
    <xdr:to>
      <xdr:col>25</xdr:col>
      <xdr:colOff>145256</xdr:colOff>
      <xdr:row>48</xdr:row>
      <xdr:rowOff>23813</xdr:rowOff>
    </xdr:to>
    <xdr:graphicFrame macro="">
      <xdr:nvGraphicFramePr>
        <xdr:cNvPr id="5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200025</xdr:colOff>
      <xdr:row>44</xdr:row>
      <xdr:rowOff>28575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00825" cy="7153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44</xdr:row>
      <xdr:rowOff>38100</xdr:rowOff>
    </xdr:from>
    <xdr:to>
      <xdr:col>12</xdr:col>
      <xdr:colOff>228600</xdr:colOff>
      <xdr:row>77</xdr:row>
      <xdr:rowOff>47625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162800"/>
          <a:ext cx="6629400" cy="535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495300</xdr:colOff>
      <xdr:row>42</xdr:row>
      <xdr:rowOff>133350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962900" cy="6962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38100</xdr:colOff>
      <xdr:row>19</xdr:row>
      <xdr:rowOff>114300</xdr:rowOff>
    </xdr:from>
    <xdr:to>
      <xdr:col>26</xdr:col>
      <xdr:colOff>466725</xdr:colOff>
      <xdr:row>36</xdr:row>
      <xdr:rowOff>57150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39100" y="3190875"/>
          <a:ext cx="6534150" cy="2695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38100</xdr:colOff>
      <xdr:row>45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972300" cy="738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323850</xdr:colOff>
      <xdr:row>25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057650" cy="417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400050</xdr:colOff>
      <xdr:row>0</xdr:row>
      <xdr:rowOff>0</xdr:rowOff>
    </xdr:from>
    <xdr:to>
      <xdr:col>16</xdr:col>
      <xdr:colOff>390525</xdr:colOff>
      <xdr:row>34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33850" y="0"/>
          <a:ext cx="4791075" cy="5657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438150</xdr:colOff>
      <xdr:row>0</xdr:row>
      <xdr:rowOff>0</xdr:rowOff>
    </xdr:from>
    <xdr:to>
      <xdr:col>26</xdr:col>
      <xdr:colOff>304800</xdr:colOff>
      <xdr:row>32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0"/>
          <a:ext cx="5200650" cy="518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409575</xdr:colOff>
      <xdr:row>0</xdr:row>
      <xdr:rowOff>0</xdr:rowOff>
    </xdr:from>
    <xdr:to>
      <xdr:col>36</xdr:col>
      <xdr:colOff>142875</xdr:colOff>
      <xdr:row>31</xdr:row>
      <xdr:rowOff>38100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77975" y="0"/>
          <a:ext cx="5067300" cy="5057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1303%20-SLAC-JLAB-LCLSII%20-%204K%20CB\02-Definition\001-Calculs%20Process\Mode1%20-%20Max%20Capacity%20-%20Design\Carnot-01-JLAB-MAXCAPACITY_NTUHX1_MAJ_0704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ExergySLAC"/>
      <sheetName val="ExergyBalance"/>
      <sheetName val="Exergy_Graph"/>
      <sheetName val="Ex_Graph_Simplified"/>
      <sheetName val="ExergyData"/>
      <sheetName val="TS Setup"/>
      <sheetName val="TS_Graph"/>
      <sheetName val="TSAuxData"/>
      <sheetName val="TS_Graph_2"/>
      <sheetName val="LNG"/>
      <sheetName val="CoolerHeater"/>
      <sheetName val="PipeValve"/>
      <sheetName val="Compressors"/>
      <sheetName val="Turbines"/>
      <sheetName val="Streams Summary"/>
      <sheetName val="AUX"/>
      <sheetName val="DS_Turb_Template"/>
      <sheetName val="DS_HX_Template"/>
      <sheetName val="TSHXTable"/>
      <sheetName val="comp efficiencies"/>
      <sheetName val="Feuil2"/>
    </sheetNames>
    <sheetDataSet>
      <sheetData sheetId="0">
        <row r="3">
          <cell r="H3">
            <v>0</v>
          </cell>
        </row>
        <row r="4">
          <cell r="H4">
            <v>0</v>
          </cell>
        </row>
        <row r="5">
          <cell r="D5">
            <v>300</v>
          </cell>
        </row>
        <row r="6">
          <cell r="D6">
            <v>4.5</v>
          </cell>
        </row>
        <row r="8">
          <cell r="B8">
            <v>65.666666666666671</v>
          </cell>
        </row>
        <row r="15">
          <cell r="G15">
            <v>0</v>
          </cell>
        </row>
        <row r="17">
          <cell r="H17" t="e">
            <v>#DIV/0!</v>
          </cell>
        </row>
        <row r="31">
          <cell r="C31" t="str">
            <v>K</v>
          </cell>
        </row>
        <row r="33">
          <cell r="C33" t="str">
            <v>atm</v>
          </cell>
        </row>
        <row r="35">
          <cell r="C35" t="str">
            <v>W*</v>
          </cell>
        </row>
        <row r="36">
          <cell r="C36" t="str">
            <v>g/s</v>
          </cell>
        </row>
      </sheetData>
      <sheetData sheetId="1">
        <row r="16">
          <cell r="A16" t="str">
            <v>MP/HP</v>
          </cell>
          <cell r="D16">
            <v>6.06</v>
          </cell>
          <cell r="E16">
            <v>19</v>
          </cell>
        </row>
        <row r="17">
          <cell r="A17" t="str">
            <v>LPR/MP</v>
          </cell>
          <cell r="D17">
            <v>2.3079999999999998</v>
          </cell>
          <cell r="E17">
            <v>6.06</v>
          </cell>
        </row>
        <row r="18">
          <cell r="A18" t="str">
            <v>LPL/MP</v>
          </cell>
          <cell r="D18">
            <v>1.05</v>
          </cell>
          <cell r="E18">
            <v>6.06</v>
          </cell>
        </row>
      </sheetData>
      <sheetData sheetId="2"/>
      <sheetData sheetId="5">
        <row r="1">
          <cell r="A1" t="str">
            <v>Object type</v>
          </cell>
          <cell r="B1" t="str">
            <v>Name</v>
          </cell>
          <cell r="D1" t="str">
            <v>Materialstreams</v>
          </cell>
          <cell r="I1" t="str">
            <v>Energystreams</v>
          </cell>
          <cell r="K1" t="str">
            <v>LNG</v>
          </cell>
          <cell r="M1" t="str">
            <v>Turbine</v>
          </cell>
          <cell r="O1" t="str">
            <v>Compressor</v>
          </cell>
          <cell r="Q1" t="str">
            <v>Pipe</v>
          </cell>
          <cell r="S1" t="str">
            <v>Cooler</v>
          </cell>
          <cell r="U1" t="str">
            <v>Heater</v>
          </cell>
          <cell r="W1" t="str">
            <v>Valve</v>
          </cell>
          <cell r="Y1" t="str">
            <v>Mixer</v>
          </cell>
          <cell r="AA1" t="str">
            <v>Tank</v>
          </cell>
          <cell r="AC1" t="str">
            <v>SystemInlet</v>
          </cell>
          <cell r="AE1" t="str">
            <v>SystemOutlet</v>
          </cell>
        </row>
        <row r="2">
          <cell r="A2" t="str">
            <v>alextnop.turbdesign</v>
          </cell>
          <cell r="B2" t="str">
            <v>op-1</v>
          </cell>
          <cell r="D2" t="str">
            <v>Bearing</v>
          </cell>
          <cell r="G2">
            <v>310.03145655074456</v>
          </cell>
          <cell r="I2" t="str">
            <v>Q_CL</v>
          </cell>
          <cell r="K2" t="str">
            <v>HX-01</v>
          </cell>
          <cell r="M2" t="str">
            <v>T1</v>
          </cell>
          <cell r="O2" t="str">
            <v>Comp_LPLtoMP</v>
          </cell>
          <cell r="S2" t="str">
            <v>HX-2ndStage</v>
          </cell>
          <cell r="U2" t="str">
            <v>Cold_Intercept</v>
          </cell>
          <cell r="W2" t="str">
            <v>Ads_20K</v>
          </cell>
          <cell r="Y2" t="str">
            <v>MIX-100</v>
          </cell>
          <cell r="AC2" t="str">
            <v>Bearing + Leak (T3+T4)</v>
          </cell>
          <cell r="AE2" t="str">
            <v>Bearing</v>
          </cell>
        </row>
        <row r="3">
          <cell r="A3" t="str">
            <v>alextnop.turbdesign</v>
          </cell>
          <cell r="B3" t="str">
            <v>op-2</v>
          </cell>
          <cell r="D3" t="str">
            <v>Bearing + Leak (T3+T4)</v>
          </cell>
          <cell r="G3">
            <v>307</v>
          </cell>
          <cell r="I3" t="str">
            <v>Q_ColdIntercept</v>
          </cell>
          <cell r="K3" t="str">
            <v>HX-02</v>
          </cell>
          <cell r="M3" t="str">
            <v>T2</v>
          </cell>
          <cell r="O3" t="str">
            <v>Comp_LPRtoMP</v>
          </cell>
          <cell r="S3" t="str">
            <v>HX-Load</v>
          </cell>
          <cell r="U3" t="str">
            <v>Liquefaction</v>
          </cell>
          <cell r="W3" t="str">
            <v>Ads_80K</v>
          </cell>
          <cell r="Y3" t="str">
            <v>MIX-101</v>
          </cell>
          <cell r="AC3" t="str">
            <v>Leak+Bearing (T1+T2)</v>
          </cell>
          <cell r="AE3" t="str">
            <v>Leak_T1</v>
          </cell>
        </row>
        <row r="4">
          <cell r="A4" t="str">
            <v>alextnop.turbdesign</v>
          </cell>
          <cell r="B4" t="str">
            <v>op-3</v>
          </cell>
          <cell r="D4" t="str">
            <v>Bypass CIa</v>
          </cell>
          <cell r="G4">
            <v>5.2904465725394516</v>
          </cell>
          <cell r="I4" t="str">
            <v>Q_CR</v>
          </cell>
          <cell r="K4" t="str">
            <v>HX-03</v>
          </cell>
          <cell r="M4" t="str">
            <v>T3</v>
          </cell>
          <cell r="O4" t="str">
            <v>Comp_MPtoHP</v>
          </cell>
          <cell r="S4" t="str">
            <v>HX-Recycle</v>
          </cell>
          <cell r="U4" t="str">
            <v>ORS</v>
          </cell>
          <cell r="W4" t="str">
            <v>JT</v>
          </cell>
          <cell r="Y4" t="str">
            <v>MIX-102</v>
          </cell>
          <cell r="AC4" t="str">
            <v>LN2_Supply</v>
          </cell>
          <cell r="AE4" t="str">
            <v>Leak_T2</v>
          </cell>
        </row>
        <row r="5">
          <cell r="A5" t="str">
            <v>alextnop.turbdesign</v>
          </cell>
          <cell r="B5" t="str">
            <v>op-4</v>
          </cell>
          <cell r="D5" t="str">
            <v>Bypass CIb</v>
          </cell>
          <cell r="G5">
            <v>5.2904465725394516</v>
          </cell>
          <cell r="I5" t="str">
            <v>Q_Liq</v>
          </cell>
          <cell r="K5" t="str">
            <v>HX-04</v>
          </cell>
          <cell r="M5" t="str">
            <v>T4</v>
          </cell>
          <cell r="U5" t="str">
            <v>Refrigeration</v>
          </cell>
          <cell r="W5" t="str">
            <v>JT_SC-2</v>
          </cell>
          <cell r="Y5" t="str">
            <v>MIX-102-2</v>
          </cell>
          <cell r="AE5" t="str">
            <v>Leak_T3</v>
          </cell>
        </row>
        <row r="6">
          <cell r="A6" t="str">
            <v>alextnop.turbdesign</v>
          </cell>
          <cell r="B6" t="str">
            <v>op-5</v>
          </cell>
          <cell r="D6" t="str">
            <v>Bypass CIc</v>
          </cell>
          <cell r="G6">
            <v>5.2645065092345931</v>
          </cell>
          <cell r="I6" t="str">
            <v>Q_Ref</v>
          </cell>
          <cell r="K6" t="str">
            <v>HX-05</v>
          </cell>
          <cell r="U6" t="str">
            <v>Sub_atm</v>
          </cell>
          <cell r="W6" t="str">
            <v>Piping+ORS</v>
          </cell>
          <cell r="Y6" t="str">
            <v>MIX-102-2-2-2</v>
          </cell>
          <cell r="AE6" t="str">
            <v>Leak_T4</v>
          </cell>
        </row>
        <row r="7">
          <cell r="A7" t="str">
            <v>compressor</v>
          </cell>
          <cell r="B7" t="str">
            <v>Comp_LPLtoMP</v>
          </cell>
          <cell r="D7" t="str">
            <v>From ColdIntercept</v>
          </cell>
          <cell r="G7">
            <v>7.4875019742859195</v>
          </cell>
          <cell r="I7" t="str">
            <v>Q_SC-2</v>
          </cell>
          <cell r="K7" t="str">
            <v>HX-06</v>
          </cell>
          <cell r="U7" t="str">
            <v>Warm_Shield</v>
          </cell>
          <cell r="W7" t="str">
            <v>PipingLPL</v>
          </cell>
          <cell r="Y7" t="str">
            <v>MIX-102-2-3</v>
          </cell>
          <cell r="AE7" t="str">
            <v>N2_01</v>
          </cell>
        </row>
        <row r="8">
          <cell r="A8" t="str">
            <v>compressor</v>
          </cell>
          <cell r="B8" t="str">
            <v>Comp_LPRtoMP</v>
          </cell>
          <cell r="D8" t="str">
            <v>From Liquefaction</v>
          </cell>
          <cell r="G8">
            <v>300.00315169174939</v>
          </cell>
          <cell r="I8" t="str">
            <v>Q_Shield</v>
          </cell>
          <cell r="K8" t="str">
            <v>HX-07</v>
          </cell>
          <cell r="W8" t="str">
            <v>PipingLPR</v>
          </cell>
          <cell r="Y8" t="str">
            <v>MIX-103</v>
          </cell>
        </row>
        <row r="9">
          <cell r="A9" t="str">
            <v>compressor</v>
          </cell>
          <cell r="B9" t="str">
            <v>Comp_MPtoHP</v>
          </cell>
          <cell r="D9" t="str">
            <v>from shields</v>
          </cell>
          <cell r="G9">
            <v>55</v>
          </cell>
          <cell r="I9" t="str">
            <v>Q_SubAtm</v>
          </cell>
          <cell r="K9" t="str">
            <v>HX-08</v>
          </cell>
          <cell r="W9" t="str">
            <v>VLV-1</v>
          </cell>
          <cell r="Y9" t="str">
            <v>MIX-104</v>
          </cell>
        </row>
        <row r="10">
          <cell r="A10" t="str">
            <v>coolerop</v>
          </cell>
          <cell r="B10" t="str">
            <v>HX-Load</v>
          </cell>
          <cell r="D10" t="str">
            <v>From SubAtm</v>
          </cell>
          <cell r="G10">
            <v>29.9999657016686</v>
          </cell>
          <cell r="I10" t="str">
            <v>Q_T1</v>
          </cell>
          <cell r="K10" t="str">
            <v>HX-09</v>
          </cell>
          <cell r="W10" t="str">
            <v>VLV-100</v>
          </cell>
          <cell r="Y10" t="str">
            <v>MIX-105</v>
          </cell>
        </row>
        <row r="11">
          <cell r="A11" t="str">
            <v>coolerop</v>
          </cell>
          <cell r="B11" t="str">
            <v>HX-Recycle</v>
          </cell>
          <cell r="D11" t="str">
            <v>HP_00a</v>
          </cell>
          <cell r="G11">
            <v>549.67497987427146</v>
          </cell>
          <cell r="I11" t="str">
            <v>Q_T2</v>
          </cell>
          <cell r="K11" t="str">
            <v>HX-10</v>
          </cell>
          <cell r="W11" t="str">
            <v>VLV-101</v>
          </cell>
          <cell r="Y11" t="str">
            <v>MIX-107</v>
          </cell>
        </row>
        <row r="12">
          <cell r="A12" t="str">
            <v>coolerop</v>
          </cell>
          <cell r="B12" t="str">
            <v>HX-2ndStage</v>
          </cell>
          <cell r="D12" t="str">
            <v>HP_00b</v>
          </cell>
          <cell r="G12">
            <v>310</v>
          </cell>
          <cell r="I12" t="str">
            <v>Q_T4</v>
          </cell>
          <cell r="K12" t="str">
            <v>HX-11</v>
          </cell>
          <cell r="W12" t="str">
            <v>VLV-102</v>
          </cell>
          <cell r="Y12" t="str">
            <v>MIX-112</v>
          </cell>
        </row>
        <row r="13">
          <cell r="A13" t="str">
            <v>expandop</v>
          </cell>
          <cell r="B13" t="str">
            <v>T4</v>
          </cell>
          <cell r="D13" t="str">
            <v>HP_00c</v>
          </cell>
          <cell r="G13">
            <v>310.03145655074456</v>
          </cell>
          <cell r="I13" t="str">
            <v>Q_TA</v>
          </cell>
          <cell r="K13" t="str">
            <v>HX-12</v>
          </cell>
          <cell r="W13" t="str">
            <v>VLV-2</v>
          </cell>
        </row>
        <row r="14">
          <cell r="A14" t="str">
            <v>expandop</v>
          </cell>
          <cell r="B14" t="str">
            <v>T3</v>
          </cell>
          <cell r="D14" t="str">
            <v>HP_01</v>
          </cell>
          <cell r="G14">
            <v>310.03145655074456</v>
          </cell>
          <cell r="I14" t="str">
            <v>Q_TD</v>
          </cell>
          <cell r="K14" t="str">
            <v>HX-SC</v>
          </cell>
          <cell r="W14" t="str">
            <v>VLV-3</v>
          </cell>
        </row>
        <row r="15">
          <cell r="A15" t="str">
            <v>expandop</v>
          </cell>
          <cell r="B15" t="str">
            <v>T2</v>
          </cell>
          <cell r="D15" t="str">
            <v>HP_02</v>
          </cell>
          <cell r="G15">
            <v>82.723577669815143</v>
          </cell>
          <cell r="I15" t="str">
            <v>Q-100</v>
          </cell>
          <cell r="W15" t="str">
            <v>VLV-4</v>
          </cell>
        </row>
        <row r="16">
          <cell r="A16" t="str">
            <v>expandop</v>
          </cell>
          <cell r="B16" t="str">
            <v>T1</v>
          </cell>
          <cell r="D16" t="str">
            <v>HP_03a</v>
          </cell>
          <cell r="G16">
            <v>79.746028529883262</v>
          </cell>
          <cell r="I16" t="str">
            <v>Q-103</v>
          </cell>
          <cell r="W16" t="str">
            <v>VLV-5</v>
          </cell>
        </row>
        <row r="17">
          <cell r="A17" t="str">
            <v>flashtank</v>
          </cell>
          <cell r="B17" t="str">
            <v>SC</v>
          </cell>
          <cell r="D17" t="str">
            <v>HP_03b</v>
          </cell>
          <cell r="G17">
            <v>79.750358745694768</v>
          </cell>
          <cell r="I17" t="str">
            <v>Q-104</v>
          </cell>
          <cell r="W17" t="str">
            <v>VLV-6</v>
          </cell>
        </row>
        <row r="18">
          <cell r="A18" t="str">
            <v>flashtank</v>
          </cell>
          <cell r="B18" t="str">
            <v>V_N2</v>
          </cell>
          <cell r="D18" t="str">
            <v>HP_04</v>
          </cell>
          <cell r="G18">
            <v>56.400158839471686</v>
          </cell>
          <cell r="I18" t="str">
            <v>Q-106</v>
          </cell>
          <cell r="W18" t="str">
            <v>VLV-T1</v>
          </cell>
        </row>
        <row r="19">
          <cell r="A19" t="str">
            <v>heaterop</v>
          </cell>
          <cell r="B19" t="str">
            <v>Refrigeration</v>
          </cell>
          <cell r="D19" t="str">
            <v>HP_05a</v>
          </cell>
          <cell r="G19">
            <v>55.818738378103319</v>
          </cell>
          <cell r="I19" t="str">
            <v>Q-107</v>
          </cell>
          <cell r="W19" t="str">
            <v>VLV-T2</v>
          </cell>
        </row>
        <row r="20">
          <cell r="A20" t="str">
            <v>heaterop</v>
          </cell>
          <cell r="B20" t="str">
            <v>Sub_atm</v>
          </cell>
          <cell r="D20" t="str">
            <v>HP_05b</v>
          </cell>
          <cell r="G20">
            <v>55.818738378103319</v>
          </cell>
          <cell r="W20" t="str">
            <v>VLV-T3</v>
          </cell>
        </row>
        <row r="21">
          <cell r="A21" t="str">
            <v>heaterop</v>
          </cell>
          <cell r="B21" t="str">
            <v>Warm_Shield</v>
          </cell>
          <cell r="D21" t="str">
            <v>HP_06</v>
          </cell>
          <cell r="G21">
            <v>36.082350206661204</v>
          </cell>
          <cell r="W21" t="str">
            <v>VLV-T4</v>
          </cell>
        </row>
        <row r="22">
          <cell r="A22" t="str">
            <v>heaterop</v>
          </cell>
          <cell r="B22" t="str">
            <v>Liquefaction</v>
          </cell>
          <cell r="D22" t="str">
            <v>HP_07a</v>
          </cell>
          <cell r="G22">
            <v>33.006400738859156</v>
          </cell>
        </row>
        <row r="23">
          <cell r="A23" t="str">
            <v>heaterop</v>
          </cell>
          <cell r="B23" t="str">
            <v>ORS</v>
          </cell>
          <cell r="D23" t="str">
            <v>HP_07b</v>
          </cell>
          <cell r="G23">
            <v>33.006400738859156</v>
          </cell>
        </row>
        <row r="24">
          <cell r="A24" t="str">
            <v>heaterop</v>
          </cell>
          <cell r="B24" t="str">
            <v>Cold_Intercept</v>
          </cell>
          <cell r="D24" t="str">
            <v>HP_08a</v>
          </cell>
          <cell r="G24">
            <v>19.13111218738598</v>
          </cell>
        </row>
        <row r="25">
          <cell r="A25" t="str">
            <v>Inlet stream</v>
          </cell>
          <cell r="B25" t="str">
            <v>LN2_Supply</v>
          </cell>
          <cell r="D25" t="str">
            <v>HP_08b</v>
          </cell>
          <cell r="G25">
            <v>19.127716338216572</v>
          </cell>
        </row>
        <row r="26">
          <cell r="A26" t="str">
            <v>Inlet stream</v>
          </cell>
          <cell r="B26" t="str">
            <v>Leak+Bearing (T1+T2)</v>
          </cell>
          <cell r="D26" t="str">
            <v>HP_09a</v>
          </cell>
          <cell r="G26">
            <v>16.481931771327368</v>
          </cell>
        </row>
        <row r="27">
          <cell r="A27" t="str">
            <v>Inlet stream</v>
          </cell>
          <cell r="B27" t="str">
            <v>Bearing + Leak (T3+T4)</v>
          </cell>
          <cell r="D27" t="str">
            <v>HP_09b</v>
          </cell>
          <cell r="G27">
            <v>16.481931771327368</v>
          </cell>
        </row>
        <row r="28">
          <cell r="A28" t="str">
            <v>lngop</v>
          </cell>
          <cell r="B28" t="str">
            <v>HX-09</v>
          </cell>
          <cell r="D28" t="str">
            <v>HP_10</v>
          </cell>
          <cell r="G28">
            <v>7.5841604056836331</v>
          </cell>
        </row>
        <row r="29">
          <cell r="A29" t="str">
            <v>lngop</v>
          </cell>
          <cell r="B29" t="str">
            <v>HX-08</v>
          </cell>
          <cell r="D29" t="str">
            <v>HP_11a</v>
          </cell>
          <cell r="G29">
            <v>6.8890495864577588</v>
          </cell>
        </row>
        <row r="30">
          <cell r="A30" t="str">
            <v>lngop</v>
          </cell>
          <cell r="B30" t="str">
            <v>HX-07</v>
          </cell>
          <cell r="D30" t="str">
            <v>HP_11b</v>
          </cell>
          <cell r="G30">
            <v>6.8890495864577588</v>
          </cell>
        </row>
        <row r="31">
          <cell r="A31" t="str">
            <v>lngop</v>
          </cell>
          <cell r="B31" t="str">
            <v>HX-06</v>
          </cell>
          <cell r="D31" t="str">
            <v>HP_12a</v>
          </cell>
          <cell r="G31">
            <v>6.0067529985881265</v>
          </cell>
        </row>
        <row r="32">
          <cell r="A32" t="str">
            <v>lngop</v>
          </cell>
          <cell r="B32" t="str">
            <v>HX-05</v>
          </cell>
          <cell r="D32" t="str">
            <v>HP_12b</v>
          </cell>
          <cell r="G32">
            <v>5.6999999999999886</v>
          </cell>
        </row>
        <row r="33">
          <cell r="A33" t="str">
            <v>lngop</v>
          </cell>
          <cell r="B33" t="str">
            <v>HX-04</v>
          </cell>
          <cell r="D33" t="str">
            <v>HP_12c</v>
          </cell>
          <cell r="G33">
            <v>5.4721946100427772</v>
          </cell>
        </row>
        <row r="34">
          <cell r="A34" t="str">
            <v>lngop</v>
          </cell>
          <cell r="B34" t="str">
            <v>HX-10</v>
          </cell>
          <cell r="D34" t="str">
            <v>HP_13a</v>
          </cell>
          <cell r="G34">
            <v>5.2904465725394516</v>
          </cell>
        </row>
        <row r="35">
          <cell r="A35" t="str">
            <v>lngop</v>
          </cell>
          <cell r="B35" t="str">
            <v>HX-SC</v>
          </cell>
          <cell r="D35" t="str">
            <v>HP_13b</v>
          </cell>
          <cell r="G35">
            <v>5.2904465725394516</v>
          </cell>
        </row>
        <row r="36">
          <cell r="A36" t="str">
            <v>lngop</v>
          </cell>
          <cell r="B36" t="str">
            <v>HX-02</v>
          </cell>
          <cell r="D36" t="str">
            <v>HP_13c</v>
          </cell>
          <cell r="G36">
            <v>4.5499416247873228</v>
          </cell>
        </row>
        <row r="37">
          <cell r="A37" t="str">
            <v>lngop</v>
          </cell>
          <cell r="B37" t="str">
            <v>HX-01</v>
          </cell>
          <cell r="D37" t="str">
            <v>HP_13d</v>
          </cell>
          <cell r="G37">
            <v>4.5500000000000114</v>
          </cell>
        </row>
        <row r="38">
          <cell r="A38" t="str">
            <v>lngop</v>
          </cell>
          <cell r="B38" t="str">
            <v>HX-12</v>
          </cell>
          <cell r="D38" t="str">
            <v>Leak_T1</v>
          </cell>
          <cell r="G38">
            <v>35</v>
          </cell>
        </row>
        <row r="39">
          <cell r="A39" t="str">
            <v>lngop</v>
          </cell>
          <cell r="B39" t="str">
            <v>HX-03</v>
          </cell>
          <cell r="D39" t="str">
            <v>Leak_T2</v>
          </cell>
          <cell r="G39">
            <v>18.942719357609803</v>
          </cell>
        </row>
        <row r="40">
          <cell r="A40" t="str">
            <v>lngop</v>
          </cell>
          <cell r="B40" t="str">
            <v>HX-11</v>
          </cell>
          <cell r="D40" t="str">
            <v>Leak_T3</v>
          </cell>
          <cell r="G40">
            <v>7.4875019742859195</v>
          </cell>
        </row>
        <row r="41">
          <cell r="A41" t="str">
            <v>mixerop</v>
          </cell>
          <cell r="B41" t="str">
            <v>MIX-107</v>
          </cell>
          <cell r="D41" t="str">
            <v>Leak_T4</v>
          </cell>
          <cell r="G41">
            <v>5.4721934979992284</v>
          </cell>
        </row>
        <row r="42">
          <cell r="A42" t="str">
            <v>mixerop</v>
          </cell>
          <cell r="B42" t="str">
            <v>MIX-112</v>
          </cell>
          <cell r="D42" t="str">
            <v>Leak+Bearing (T1+T2)</v>
          </cell>
          <cell r="G42">
            <v>307</v>
          </cell>
        </row>
        <row r="43">
          <cell r="A43" t="str">
            <v>mixerop</v>
          </cell>
          <cell r="B43" t="str">
            <v>MIX-100</v>
          </cell>
          <cell r="D43" t="str">
            <v>LN2_Supply</v>
          </cell>
          <cell r="G43">
            <v>91.412918111861927</v>
          </cell>
        </row>
        <row r="44">
          <cell r="A44" t="str">
            <v>mixerop</v>
          </cell>
          <cell r="B44" t="str">
            <v>MIX-103</v>
          </cell>
          <cell r="D44" t="str">
            <v>LPL_00</v>
          </cell>
          <cell r="G44">
            <v>305.27147950867061</v>
          </cell>
        </row>
        <row r="45">
          <cell r="A45" t="str">
            <v>mixerop</v>
          </cell>
          <cell r="B45" t="str">
            <v>MIX-104</v>
          </cell>
          <cell r="D45" t="str">
            <v>LPL_01a</v>
          </cell>
          <cell r="G45">
            <v>305.34994012490449</v>
          </cell>
        </row>
        <row r="46">
          <cell r="A46" t="str">
            <v>mixerop</v>
          </cell>
          <cell r="B46" t="str">
            <v>MIX-105</v>
          </cell>
          <cell r="D46" t="str">
            <v>LPL_01b</v>
          </cell>
          <cell r="G46">
            <v>305.35308779539037</v>
          </cell>
        </row>
        <row r="47">
          <cell r="A47" t="str">
            <v>mixerop</v>
          </cell>
          <cell r="B47" t="str">
            <v>MIX-101</v>
          </cell>
          <cell r="D47" t="str">
            <v>LPL_03</v>
          </cell>
          <cell r="G47">
            <v>78.959454190832901</v>
          </cell>
        </row>
        <row r="48">
          <cell r="A48" t="str">
            <v>mixerop</v>
          </cell>
          <cell r="B48" t="str">
            <v>MIX-102-2</v>
          </cell>
          <cell r="D48" t="str">
            <v>LPL_04</v>
          </cell>
          <cell r="G48">
            <v>55</v>
          </cell>
        </row>
        <row r="49">
          <cell r="A49" t="str">
            <v>mixerop</v>
          </cell>
          <cell r="B49" t="str">
            <v>MIX-102-2-3</v>
          </cell>
          <cell r="D49" t="str">
            <v>LPL_05</v>
          </cell>
          <cell r="G49">
            <v>54.3219498604916</v>
          </cell>
        </row>
        <row r="50">
          <cell r="A50" t="str">
            <v>mixerop</v>
          </cell>
          <cell r="B50" t="str">
            <v>MIX-102-2-2-2</v>
          </cell>
          <cell r="D50" t="str">
            <v>LPL_06</v>
          </cell>
          <cell r="G50">
            <v>34.989856640918816</v>
          </cell>
        </row>
        <row r="51">
          <cell r="A51" t="str">
            <v>mixerop</v>
          </cell>
          <cell r="B51" t="str">
            <v>MIX-102</v>
          </cell>
          <cell r="D51" t="str">
            <v>LPL_07a</v>
          </cell>
          <cell r="G51">
            <v>32.107663716982898</v>
          </cell>
        </row>
        <row r="52">
          <cell r="A52" t="str">
            <v>Outlet stream</v>
          </cell>
          <cell r="B52" t="str">
            <v>N2_01</v>
          </cell>
          <cell r="D52" t="str">
            <v>LPL_07b</v>
          </cell>
          <cell r="G52">
            <v>31.523661319326834</v>
          </cell>
        </row>
        <row r="53">
          <cell r="A53" t="str">
            <v>Outlet stream</v>
          </cell>
          <cell r="B53" t="str">
            <v>Leak_T4</v>
          </cell>
          <cell r="D53" t="str">
            <v>LPL_08</v>
          </cell>
          <cell r="G53">
            <v>18.942719357609803</v>
          </cell>
        </row>
        <row r="54">
          <cell r="A54" t="str">
            <v>Outlet stream</v>
          </cell>
          <cell r="B54" t="str">
            <v>Leak_T3</v>
          </cell>
          <cell r="D54" t="str">
            <v>LPL_09</v>
          </cell>
          <cell r="G54">
            <v>14.514894311238493</v>
          </cell>
        </row>
        <row r="55">
          <cell r="A55" t="str">
            <v>Outlet stream</v>
          </cell>
          <cell r="B55" t="str">
            <v>Leak_T2</v>
          </cell>
          <cell r="D55" t="str">
            <v>LPL_10a</v>
          </cell>
          <cell r="G55">
            <v>7.4875019742859195</v>
          </cell>
        </row>
        <row r="56">
          <cell r="A56" t="str">
            <v>Outlet stream</v>
          </cell>
          <cell r="B56" t="str">
            <v>Leak_T1</v>
          </cell>
          <cell r="D56" t="str">
            <v>LPL_10b</v>
          </cell>
          <cell r="G56">
            <v>7.4875019742828499</v>
          </cell>
        </row>
        <row r="57">
          <cell r="A57" t="str">
            <v>Outlet stream</v>
          </cell>
          <cell r="B57" t="str">
            <v>Bearing</v>
          </cell>
          <cell r="D57" t="str">
            <v>LPL_11</v>
          </cell>
          <cell r="G57">
            <v>5.3805356768206707</v>
          </cell>
        </row>
        <row r="58">
          <cell r="A58" t="str">
            <v>recycle</v>
          </cell>
          <cell r="B58" t="str">
            <v>RCY-1</v>
          </cell>
          <cell r="D58" t="str">
            <v>LPL_12</v>
          </cell>
          <cell r="G58">
            <v>5.3721833650457711</v>
          </cell>
        </row>
        <row r="59">
          <cell r="A59" t="str">
            <v>valveop</v>
          </cell>
          <cell r="B59" t="str">
            <v>JT_SC-2</v>
          </cell>
          <cell r="D59" t="str">
            <v>LPL_13</v>
          </cell>
          <cell r="G59">
            <v>4.4711363510540423</v>
          </cell>
        </row>
        <row r="60">
          <cell r="A60" t="str">
            <v>valveop</v>
          </cell>
          <cell r="B60" t="str">
            <v>JT</v>
          </cell>
          <cell r="D60" t="str">
            <v>LPR_00</v>
          </cell>
          <cell r="G60">
            <v>305.40011956501598</v>
          </cell>
        </row>
        <row r="61">
          <cell r="A61" t="str">
            <v>valveop</v>
          </cell>
          <cell r="B61" t="str">
            <v>VLV-100</v>
          </cell>
          <cell r="D61" t="str">
            <v>LPR_01a</v>
          </cell>
          <cell r="G61">
            <v>305.34993895666167</v>
          </cell>
        </row>
        <row r="62">
          <cell r="A62" t="str">
            <v>valveop</v>
          </cell>
          <cell r="B62" t="str">
            <v>Ads_20K</v>
          </cell>
          <cell r="D62" t="str">
            <v>LPR_01b</v>
          </cell>
          <cell r="G62">
            <v>305.35308675259859</v>
          </cell>
        </row>
        <row r="63">
          <cell r="A63" t="str">
            <v>valveop</v>
          </cell>
          <cell r="B63" t="str">
            <v>Ads_80K</v>
          </cell>
          <cell r="D63" t="str">
            <v>LPR_03</v>
          </cell>
          <cell r="G63">
            <v>78.959454250698457</v>
          </cell>
        </row>
        <row r="64">
          <cell r="A64" t="str">
            <v>valveop</v>
          </cell>
          <cell r="B64" t="str">
            <v>VLV-101</v>
          </cell>
          <cell r="D64" t="str">
            <v>LPR_04a</v>
          </cell>
          <cell r="G64">
            <v>55</v>
          </cell>
        </row>
        <row r="65">
          <cell r="A65" t="str">
            <v>valveop</v>
          </cell>
          <cell r="B65" t="str">
            <v>VLV-T4</v>
          </cell>
          <cell r="D65" t="str">
            <v>LPR_04b</v>
          </cell>
          <cell r="G65">
            <v>54.999999999997073</v>
          </cell>
        </row>
        <row r="66">
          <cell r="A66" t="str">
            <v>valveop</v>
          </cell>
          <cell r="B66" t="str">
            <v>VLV-T3</v>
          </cell>
          <cell r="D66" t="str">
            <v>LPR_05</v>
          </cell>
          <cell r="G66">
            <v>54.321949009419171</v>
          </cell>
        </row>
        <row r="67">
          <cell r="A67" t="str">
            <v>valveop</v>
          </cell>
          <cell r="B67" t="str">
            <v>VLV-T1</v>
          </cell>
          <cell r="D67" t="str">
            <v>LPR_06A</v>
          </cell>
          <cell r="G67">
            <v>34.989856640918816</v>
          </cell>
        </row>
        <row r="68">
          <cell r="A68" t="str">
            <v>valveop</v>
          </cell>
          <cell r="B68" t="str">
            <v>VLV-T2</v>
          </cell>
          <cell r="D68" t="str">
            <v>LPR_06b</v>
          </cell>
          <cell r="G68">
            <v>34.989856640909295</v>
          </cell>
        </row>
        <row r="69">
          <cell r="A69" t="str">
            <v>valveop</v>
          </cell>
          <cell r="B69" t="str">
            <v>VLV-1</v>
          </cell>
          <cell r="D69" t="str">
            <v>LPR_07</v>
          </cell>
          <cell r="G69">
            <v>32.10771102822045</v>
          </cell>
        </row>
        <row r="70">
          <cell r="A70" t="str">
            <v>valveop</v>
          </cell>
          <cell r="B70" t="str">
            <v>VLV-2</v>
          </cell>
          <cell r="D70" t="str">
            <v>MP_00a</v>
          </cell>
          <cell r="G70">
            <v>718.91203357231234</v>
          </cell>
        </row>
        <row r="71">
          <cell r="A71" t="str">
            <v>valveop</v>
          </cell>
          <cell r="B71" t="str">
            <v>Piping+ORS</v>
          </cell>
          <cell r="D71" t="str">
            <v>MP_00b</v>
          </cell>
          <cell r="G71">
            <v>310</v>
          </cell>
        </row>
        <row r="72">
          <cell r="A72" t="str">
            <v>valveop</v>
          </cell>
          <cell r="B72" t="str">
            <v>PipingLPL</v>
          </cell>
          <cell r="D72" t="str">
            <v>MP_00c</v>
          </cell>
          <cell r="G72">
            <v>497.35096036338871</v>
          </cell>
        </row>
        <row r="73">
          <cell r="A73" t="str">
            <v>valveop</v>
          </cell>
          <cell r="B73" t="str">
            <v>PipingLPR</v>
          </cell>
          <cell r="D73" t="str">
            <v>MP_00d</v>
          </cell>
          <cell r="G73">
            <v>310</v>
          </cell>
        </row>
        <row r="74">
          <cell r="A74" t="str">
            <v>valveop</v>
          </cell>
          <cell r="B74" t="str">
            <v>VLV-3</v>
          </cell>
          <cell r="D74" t="str">
            <v>MP_00e</v>
          </cell>
          <cell r="G74">
            <v>309.9999999998829</v>
          </cell>
        </row>
        <row r="75">
          <cell r="A75" t="str">
            <v>valveop</v>
          </cell>
          <cell r="B75" t="str">
            <v>VLV-4</v>
          </cell>
          <cell r="D75" t="str">
            <v>N2_01</v>
          </cell>
          <cell r="G75">
            <v>305.34996781329107</v>
          </cell>
        </row>
        <row r="76">
          <cell r="A76" t="str">
            <v>valveop</v>
          </cell>
          <cell r="B76" t="str">
            <v>VLV-5</v>
          </cell>
          <cell r="D76" t="str">
            <v>N2_02a</v>
          </cell>
          <cell r="G76">
            <v>78.946028512476232</v>
          </cell>
        </row>
        <row r="77">
          <cell r="A77" t="str">
            <v>valveop</v>
          </cell>
          <cell r="B77" t="str">
            <v>VLV-6</v>
          </cell>
          <cell r="D77" t="str">
            <v>N2_02b</v>
          </cell>
          <cell r="G77">
            <v>78.947217740694754</v>
          </cell>
        </row>
        <row r="78">
          <cell r="A78" t="str">
            <v>valveop</v>
          </cell>
          <cell r="B78" t="str">
            <v>VLV-102</v>
          </cell>
          <cell r="D78" t="str">
            <v>N2_02c</v>
          </cell>
          <cell r="G78">
            <v>78.947058307996031</v>
          </cell>
        </row>
        <row r="79">
          <cell r="D79" t="str">
            <v>N2_03a</v>
          </cell>
          <cell r="G79">
            <v>78.948111637516831</v>
          </cell>
        </row>
        <row r="80">
          <cell r="D80" t="str">
            <v>N2_03b</v>
          </cell>
          <cell r="G80">
            <v>78.946028529903117</v>
          </cell>
        </row>
        <row r="81">
          <cell r="D81" t="str">
            <v>OilRemoval</v>
          </cell>
          <cell r="G81">
            <v>310.03145655074456</v>
          </cell>
        </row>
        <row r="82">
          <cell r="D82" t="str">
            <v>OilRemovalMP</v>
          </cell>
          <cell r="G82">
            <v>310</v>
          </cell>
        </row>
        <row r="83">
          <cell r="D83" t="str">
            <v>Return_ColdINtercept</v>
          </cell>
          <cell r="G83">
            <v>7.5</v>
          </cell>
        </row>
        <row r="84">
          <cell r="D84" t="str">
            <v>Return_Liquefaction</v>
          </cell>
          <cell r="G84">
            <v>300</v>
          </cell>
        </row>
        <row r="85">
          <cell r="D85" t="str">
            <v>Return_Refrigeration</v>
          </cell>
          <cell r="G85">
            <v>4.4689249167540765</v>
          </cell>
        </row>
        <row r="86">
          <cell r="D86" t="str">
            <v>Return_Shield</v>
          </cell>
          <cell r="G86">
            <v>54.999999999997073</v>
          </cell>
        </row>
        <row r="87">
          <cell r="D87" t="str">
            <v>Return_SubAtm</v>
          </cell>
          <cell r="G87">
            <v>30</v>
          </cell>
        </row>
        <row r="88">
          <cell r="D88" t="str">
            <v>SC_13a</v>
          </cell>
          <cell r="G88">
            <v>5.2904465725394516</v>
          </cell>
        </row>
        <row r="89">
          <cell r="D89" t="str">
            <v>SC_13b</v>
          </cell>
          <cell r="G89">
            <v>4.4675627548779744</v>
          </cell>
        </row>
        <row r="90">
          <cell r="D90" t="str">
            <v>SC_13c</v>
          </cell>
          <cell r="G90">
            <v>4.4677042136290765</v>
          </cell>
        </row>
        <row r="91">
          <cell r="D91" t="str">
            <v>SC_13d</v>
          </cell>
          <cell r="G91">
            <v>4.4678568015197015</v>
          </cell>
        </row>
        <row r="92">
          <cell r="D92" t="str">
            <v>SC_13e</v>
          </cell>
          <cell r="G92">
            <v>4.4677042136290765</v>
          </cell>
        </row>
        <row r="93">
          <cell r="D93" t="str">
            <v>Supply_ColdIntercept</v>
          </cell>
          <cell r="G93">
            <v>5.4250000000000114</v>
          </cell>
        </row>
        <row r="94">
          <cell r="D94" t="str">
            <v>Supply_Liquefaction</v>
          </cell>
          <cell r="G94">
            <v>4.5500000000000114</v>
          </cell>
        </row>
        <row r="95">
          <cell r="D95" t="str">
            <v>Supply_Refrigeration</v>
          </cell>
          <cell r="G95">
            <v>4.5500000000000114</v>
          </cell>
        </row>
        <row r="96">
          <cell r="D96" t="str">
            <v>Supply_Shield</v>
          </cell>
          <cell r="G96">
            <v>35</v>
          </cell>
        </row>
        <row r="97">
          <cell r="D97" t="str">
            <v>Supply_SubAtm</v>
          </cell>
          <cell r="G97">
            <v>4.5500000000000114</v>
          </cell>
        </row>
        <row r="98">
          <cell r="D98" t="str">
            <v>T1_05a</v>
          </cell>
          <cell r="G98">
            <v>55.818738378103319</v>
          </cell>
        </row>
        <row r="99">
          <cell r="D99" t="str">
            <v>T1_05b</v>
          </cell>
          <cell r="G99">
            <v>55.823501608266497</v>
          </cell>
        </row>
        <row r="100">
          <cell r="D100" t="str">
            <v>T1_06a</v>
          </cell>
          <cell r="G100">
            <v>35</v>
          </cell>
        </row>
        <row r="101">
          <cell r="D101" t="str">
            <v>T1_06b</v>
          </cell>
          <cell r="G101">
            <v>35</v>
          </cell>
        </row>
        <row r="102">
          <cell r="D102" t="str">
            <v>T1_06c</v>
          </cell>
          <cell r="G102">
            <v>35</v>
          </cell>
        </row>
        <row r="103">
          <cell r="D103" t="str">
            <v>T1_06d</v>
          </cell>
          <cell r="G103">
            <v>34.989856640918816</v>
          </cell>
        </row>
        <row r="104">
          <cell r="D104" t="str">
            <v>T2_07a</v>
          </cell>
          <cell r="G104">
            <v>33.006400738859156</v>
          </cell>
        </row>
        <row r="105">
          <cell r="D105" t="str">
            <v>T2_07b</v>
          </cell>
          <cell r="G105">
            <v>33.00544004030786</v>
          </cell>
        </row>
        <row r="106">
          <cell r="D106" t="str">
            <v>T2_08a</v>
          </cell>
          <cell r="G106">
            <v>18.942719357609803</v>
          </cell>
        </row>
        <row r="107">
          <cell r="D107" t="str">
            <v>T2_08b</v>
          </cell>
          <cell r="G107">
            <v>18.942719357609803</v>
          </cell>
        </row>
        <row r="108">
          <cell r="D108" t="str">
            <v>T3_09a</v>
          </cell>
          <cell r="G108">
            <v>16.481931771327368</v>
          </cell>
        </row>
        <row r="109">
          <cell r="D109" t="str">
            <v>T3_09b</v>
          </cell>
          <cell r="G109">
            <v>16.471861854040412</v>
          </cell>
        </row>
        <row r="110">
          <cell r="D110" t="str">
            <v>T3_10a</v>
          </cell>
          <cell r="G110">
            <v>7.4875019742859195</v>
          </cell>
        </row>
        <row r="111">
          <cell r="D111" t="str">
            <v>T3_10b</v>
          </cell>
          <cell r="G111">
            <v>7.4875019742859195</v>
          </cell>
        </row>
        <row r="112">
          <cell r="D112" t="str">
            <v>T4_11a</v>
          </cell>
          <cell r="G112">
            <v>6.8890495864577588</v>
          </cell>
        </row>
        <row r="113">
          <cell r="D113" t="str">
            <v>T4_11b</v>
          </cell>
          <cell r="G113">
            <v>6.90113163722026</v>
          </cell>
        </row>
        <row r="114">
          <cell r="D114" t="str">
            <v>T4_12a</v>
          </cell>
          <cell r="G114">
            <v>5.4721934979992284</v>
          </cell>
        </row>
        <row r="115">
          <cell r="D115" t="str">
            <v>T4_12b</v>
          </cell>
          <cell r="G115">
            <v>5.4721934979992284</v>
          </cell>
        </row>
        <row r="116">
          <cell r="D116" t="str">
            <v>to ColdIntercept</v>
          </cell>
          <cell r="G116">
            <v>5.4721934979992284</v>
          </cell>
        </row>
        <row r="117">
          <cell r="D117" t="str">
            <v>to ColdIntercept b</v>
          </cell>
          <cell r="G117">
            <v>5.4249962686977824</v>
          </cell>
        </row>
      </sheetData>
      <sheetData sheetId="6">
        <row r="5">
          <cell r="BK5" t="str">
            <v>T1</v>
          </cell>
          <cell r="BO5" t="str">
            <v>T2</v>
          </cell>
          <cell r="BS5" t="str">
            <v>T3</v>
          </cell>
          <cell r="BW5" t="str">
            <v>T4</v>
          </cell>
          <cell r="DA5" t="str">
            <v>Comp_LPLtoMP</v>
          </cell>
          <cell r="DE5" t="str">
            <v>Comp_LPRtoMP</v>
          </cell>
          <cell r="DI5" t="str">
            <v>Comp_MPtoHP</v>
          </cell>
        </row>
        <row r="12">
          <cell r="A12">
            <v>3.5</v>
          </cell>
        </row>
        <row r="44">
          <cell r="BK44" t="str">
            <v>JT_SC-2</v>
          </cell>
        </row>
      </sheetData>
      <sheetData sheetId="8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YES</v>
          </cell>
          <cell r="B1" t="str">
            <v>--------</v>
          </cell>
          <cell r="E1" t="str">
            <v>X</v>
          </cell>
          <cell r="G1" t="str">
            <v>Heat Exchanger</v>
          </cell>
        </row>
        <row r="2">
          <cell r="A2" t="str">
            <v>NO</v>
          </cell>
          <cell r="B2" t="str">
            <v>. . . . . (carré)</v>
          </cell>
          <cell r="G2" t="str">
            <v>Turbines</v>
          </cell>
          <cell r="H2" t="str">
            <v>C</v>
          </cell>
          <cell r="I2" t="str">
            <v>kPa</v>
          </cell>
          <cell r="J2" t="str">
            <v>kPa</v>
          </cell>
          <cell r="K2" t="str">
            <v>W*</v>
          </cell>
          <cell r="L2" t="str">
            <v>kg/h</v>
          </cell>
          <cell r="M2" t="str">
            <v>kJ/g</v>
          </cell>
          <cell r="N2" t="str">
            <v>kJ/g-C</v>
          </cell>
          <cell r="O2" t="str">
            <v>kJ/g-C</v>
          </cell>
          <cell r="P2" t="str">
            <v>kg/m3</v>
          </cell>
          <cell r="Q2" t="str">
            <v>kgmole/h</v>
          </cell>
          <cell r="R2" t="str">
            <v>kJ/gmole</v>
          </cell>
          <cell r="S2" t="str">
            <v>kJ/gmole-C</v>
          </cell>
          <cell r="T2" t="str">
            <v>kJ/gmole-C</v>
          </cell>
          <cell r="U2" t="str">
            <v>kgmole/m3</v>
          </cell>
          <cell r="V2" t="str">
            <v>m3/h</v>
          </cell>
          <cell r="W2" t="str">
            <v>cP</v>
          </cell>
          <cell r="X2" t="str">
            <v>cSt</v>
          </cell>
          <cell r="Y2" t="str">
            <v>W/m-K</v>
          </cell>
        </row>
        <row r="3">
          <cell r="B3" t="str">
            <v>. . . . . (rond)</v>
          </cell>
          <cell r="G3" t="str">
            <v>Other (Cold Box)</v>
          </cell>
          <cell r="H3" t="str">
            <v>K</v>
          </cell>
          <cell r="I3" t="str">
            <v>MPa</v>
          </cell>
          <cell r="J3" t="str">
            <v>MPa</v>
          </cell>
          <cell r="K3" t="str">
            <v>kW</v>
          </cell>
          <cell r="L3" t="str">
            <v>kg/min</v>
          </cell>
          <cell r="M3" t="str">
            <v>kJ/kg</v>
          </cell>
          <cell r="N3" t="str">
            <v>kJ/g-K</v>
          </cell>
          <cell r="O3" t="str">
            <v>kJ/g-K</v>
          </cell>
          <cell r="P3" t="str">
            <v>g/L</v>
          </cell>
          <cell r="Q3" t="str">
            <v>kgmole/min</v>
          </cell>
          <cell r="R3" t="str">
            <v>kJ/kgmole</v>
          </cell>
          <cell r="S3" t="str">
            <v>kJ/gmole-K</v>
          </cell>
          <cell r="T3" t="str">
            <v>kJ/gmole-K</v>
          </cell>
          <cell r="U3" t="str">
            <v>gmole/L</v>
          </cell>
          <cell r="V3" t="str">
            <v>m3/min</v>
          </cell>
          <cell r="W3" t="str">
            <v>mP</v>
          </cell>
          <cell r="X3" t="str">
            <v>m²/s*</v>
          </cell>
          <cell r="Y3" t="str">
            <v>Btu/hr-ft-F</v>
          </cell>
        </row>
        <row r="4">
          <cell r="B4" t="str">
            <v>- - - - -</v>
          </cell>
          <cell r="G4" t="str">
            <v>Other (Warm)</v>
          </cell>
          <cell r="H4" t="str">
            <v>F</v>
          </cell>
          <cell r="I4" t="str">
            <v>kg/m-s2</v>
          </cell>
          <cell r="J4" t="str">
            <v>kg/m-s2</v>
          </cell>
          <cell r="K4" t="str">
            <v>MW</v>
          </cell>
          <cell r="L4" t="str">
            <v>kg/s</v>
          </cell>
          <cell r="M4" t="str">
            <v>J/g</v>
          </cell>
          <cell r="N4" t="str">
            <v>kJ/kg-C</v>
          </cell>
          <cell r="O4" t="str">
            <v>kJ/kg-C</v>
          </cell>
          <cell r="P4" t="str">
            <v>g/cm3</v>
          </cell>
          <cell r="Q4" t="str">
            <v>kgmole/s</v>
          </cell>
          <cell r="R4" t="str">
            <v>J/gmole</v>
          </cell>
          <cell r="S4" t="str">
            <v>kJ/kgmole-C</v>
          </cell>
          <cell r="T4" t="str">
            <v>kJ/kgmole-C</v>
          </cell>
          <cell r="U4" t="str">
            <v>gmole/cm3</v>
          </cell>
          <cell r="V4" t="str">
            <v>m3/s</v>
          </cell>
          <cell r="W4" t="str">
            <v>microP</v>
          </cell>
          <cell r="Y4" t="str">
            <v>Btu/h-ft-F</v>
          </cell>
        </row>
        <row r="5">
          <cell r="B5" t="str">
            <v>- . - . -</v>
          </cell>
          <cell r="H5" t="str">
            <v>R</v>
          </cell>
          <cell r="I5" t="str">
            <v>bar</v>
          </cell>
          <cell r="J5" t="str">
            <v>bar</v>
          </cell>
          <cell r="K5" t="str">
            <v>kJ/s</v>
          </cell>
          <cell r="L5" t="str">
            <v>kg/d</v>
          </cell>
          <cell r="M5" t="str">
            <v>J/kg</v>
          </cell>
          <cell r="N5" t="str">
            <v>kJ/kg-K</v>
          </cell>
          <cell r="O5" t="str">
            <v>kJ/kg-K</v>
          </cell>
          <cell r="P5" t="str">
            <v>g/mL</v>
          </cell>
          <cell r="Q5" t="str">
            <v>m3/h_(gas)</v>
          </cell>
          <cell r="R5" t="str">
            <v>J/kgmole</v>
          </cell>
          <cell r="S5" t="str">
            <v>kJ/kgmole-K</v>
          </cell>
          <cell r="T5" t="str">
            <v>kJ/kgmole-K</v>
          </cell>
          <cell r="U5" t="str">
            <v>gmole/mL</v>
          </cell>
          <cell r="V5" t="str">
            <v>m3/d</v>
          </cell>
          <cell r="W5" t="str">
            <v>P</v>
          </cell>
          <cell r="Y5" t="str">
            <v>Kcal/m-hr-C</v>
          </cell>
        </row>
        <row r="6">
          <cell r="B6" t="str">
            <v>- . . - . .</v>
          </cell>
          <cell r="I6" t="str">
            <v>mbar</v>
          </cell>
          <cell r="J6" t="str">
            <v>mbar</v>
          </cell>
          <cell r="K6" t="str">
            <v>kJ/min</v>
          </cell>
          <cell r="L6" t="str">
            <v>tonne/d</v>
          </cell>
          <cell r="M6" t="str">
            <v>kcal/g</v>
          </cell>
          <cell r="N6" t="str">
            <v>J/g-C</v>
          </cell>
          <cell r="O6" t="str">
            <v>J/g-C</v>
          </cell>
          <cell r="P6" t="str">
            <v>lb/ft3</v>
          </cell>
          <cell r="Q6" t="str">
            <v>m3/d_(gas)</v>
          </cell>
          <cell r="R6" t="str">
            <v>kcal/gmole</v>
          </cell>
          <cell r="S6" t="str">
            <v>J/gmole-C</v>
          </cell>
          <cell r="T6" t="str">
            <v>J/gmole-C</v>
          </cell>
          <cell r="U6" t="str">
            <v>lbmole/ft3</v>
          </cell>
          <cell r="V6" t="str">
            <v>L/h</v>
          </cell>
          <cell r="W6" t="str">
            <v>Pa-s</v>
          </cell>
          <cell r="Y6" t="str">
            <v>cal/cm-s-C</v>
          </cell>
        </row>
        <row r="7">
          <cell r="B7" t="str">
            <v>-- -- --</v>
          </cell>
          <cell r="I7" t="str">
            <v>N/m2</v>
          </cell>
          <cell r="J7" t="str">
            <v>N/m2</v>
          </cell>
          <cell r="K7" t="str">
            <v>kJ/h</v>
          </cell>
          <cell r="L7" t="str">
            <v>tonne/h</v>
          </cell>
          <cell r="M7" t="str">
            <v>MJ/kg</v>
          </cell>
          <cell r="N7" t="str">
            <v>J/g-K</v>
          </cell>
          <cell r="O7" t="str">
            <v>J/g-K</v>
          </cell>
          <cell r="P7" t="str">
            <v>API</v>
          </cell>
          <cell r="Q7" t="str">
            <v>Nm3/h(gas)</v>
          </cell>
          <cell r="R7" t="str">
            <v>MJ/kgmole</v>
          </cell>
          <cell r="S7" t="str">
            <v>J/gmole-K</v>
          </cell>
          <cell r="T7" t="str">
            <v>J/gmole-K</v>
          </cell>
          <cell r="U7" t="str">
            <v>Nm3/m3*</v>
          </cell>
          <cell r="V7" t="str">
            <v>L/d</v>
          </cell>
          <cell r="W7" t="str">
            <v>lbf-s/ft2</v>
          </cell>
          <cell r="Y7" t="str">
            <v>kcal/m/°C/h*</v>
          </cell>
        </row>
        <row r="8">
          <cell r="B8" t="str">
            <v xml:space="preserve">-- . -- . </v>
          </cell>
          <cell r="I8" t="str">
            <v>atm</v>
          </cell>
          <cell r="J8" t="str">
            <v>atm</v>
          </cell>
          <cell r="K8" t="str">
            <v>MJ/h</v>
          </cell>
          <cell r="L8" t="str">
            <v>tonne/year</v>
          </cell>
          <cell r="M8" t="str">
            <v>kcal/kg</v>
          </cell>
          <cell r="N8" t="str">
            <v>J/kg-C</v>
          </cell>
          <cell r="O8" t="str">
            <v>J/kg-C</v>
          </cell>
          <cell r="P8" t="str">
            <v>SG_60/60api</v>
          </cell>
          <cell r="Q8" t="str">
            <v>Nm3/d(gas)</v>
          </cell>
          <cell r="R8" t="str">
            <v>kcal/kgmole</v>
          </cell>
          <cell r="S8" t="str">
            <v>J/kgmole-C</v>
          </cell>
          <cell r="T8" t="str">
            <v>J/kgmole-C</v>
          </cell>
          <cell r="V8" t="str">
            <v>L/min</v>
          </cell>
          <cell r="W8" t="str">
            <v>lbm/s-ft</v>
          </cell>
        </row>
        <row r="9">
          <cell r="I9" t="str">
            <v>at</v>
          </cell>
          <cell r="J9" t="str">
            <v>at</v>
          </cell>
          <cell r="K9" t="str">
            <v>GJ/h</v>
          </cell>
          <cell r="L9" t="str">
            <v>g/h</v>
          </cell>
          <cell r="M9" t="str">
            <v>cal/g</v>
          </cell>
          <cell r="N9" t="str">
            <v>J/kg-K</v>
          </cell>
          <cell r="O9" t="str">
            <v>J/kg-K</v>
          </cell>
          <cell r="P9" t="str">
            <v>SG_H2O60nbs</v>
          </cell>
          <cell r="Q9" t="str">
            <v>gmole/h</v>
          </cell>
          <cell r="R9" t="str">
            <v>cal/gmole</v>
          </cell>
          <cell r="S9" t="str">
            <v>J/kgmole-K</v>
          </cell>
          <cell r="T9" t="str">
            <v>J/kgmole-K</v>
          </cell>
          <cell r="V9" t="str">
            <v>L/s</v>
          </cell>
          <cell r="W9" t="str">
            <v>lbm/h-ft</v>
          </cell>
        </row>
        <row r="10">
          <cell r="I10" t="str">
            <v>kg/cm2</v>
          </cell>
          <cell r="J10" t="str">
            <v>kg/cm2</v>
          </cell>
          <cell r="K10" t="str">
            <v>kWh/day</v>
          </cell>
          <cell r="L10" t="str">
            <v>g/min</v>
          </cell>
          <cell r="M10" t="str">
            <v>cal/kg</v>
          </cell>
          <cell r="N10" t="str">
            <v>kcal/g-C</v>
          </cell>
          <cell r="O10" t="str">
            <v>kcal/g-C</v>
          </cell>
          <cell r="P10" t="str">
            <v>SG_H2O4</v>
          </cell>
          <cell r="Q10" t="str">
            <v>gmole/min</v>
          </cell>
          <cell r="R10" t="str">
            <v>cal/kgmole</v>
          </cell>
          <cell r="S10" t="str">
            <v>kcal/gmol-C</v>
          </cell>
          <cell r="T10" t="str">
            <v>kcal/gmol-C</v>
          </cell>
          <cell r="V10" t="str">
            <v>mL/h</v>
          </cell>
          <cell r="W10" t="str">
            <v>slug/h-ft</v>
          </cell>
        </row>
        <row r="11">
          <cell r="I11" t="str">
            <v>psia</v>
          </cell>
          <cell r="J11" t="str">
            <v>psia</v>
          </cell>
          <cell r="K11" t="str">
            <v>MWh/day</v>
          </cell>
          <cell r="L11" t="str">
            <v>g/s</v>
          </cell>
          <cell r="M11" t="str">
            <v>Btu/lb</v>
          </cell>
          <cell r="N11" t="str">
            <v>kcal/g-K</v>
          </cell>
          <cell r="O11" t="str">
            <v>kcal/g-K</v>
          </cell>
          <cell r="Q11" t="str">
            <v>gmole/s</v>
          </cell>
          <cell r="R11" t="str">
            <v>Btu/lbmole</v>
          </cell>
          <cell r="S11" t="str">
            <v>kcal/gmol-K</v>
          </cell>
          <cell r="T11" t="str">
            <v>kcal/gmol-K</v>
          </cell>
          <cell r="V11" t="str">
            <v>mL/min</v>
          </cell>
          <cell r="W11" t="str">
            <v>poundals/ft2</v>
          </cell>
        </row>
        <row r="12">
          <cell r="I12" t="str">
            <v>lbf/ft2</v>
          </cell>
          <cell r="J12" t="str">
            <v>lbf/ft2</v>
          </cell>
          <cell r="K12" t="str">
            <v>kcal/h</v>
          </cell>
          <cell r="L12" t="str">
            <v>lb/hr</v>
          </cell>
          <cell r="N12" t="str">
            <v>kcal/kg-C</v>
          </cell>
          <cell r="O12" t="str">
            <v>kcal/kg-C</v>
          </cell>
          <cell r="Q12" t="str">
            <v>lbmole/hr</v>
          </cell>
          <cell r="R12" t="str">
            <v>kkcal/kgmole</v>
          </cell>
          <cell r="S12" t="str">
            <v>kcal/kgmol-C</v>
          </cell>
          <cell r="T12" t="str">
            <v>kcal/kgmol-C</v>
          </cell>
          <cell r="V12" t="str">
            <v>mL/s</v>
          </cell>
        </row>
        <row r="13">
          <cell r="I13" t="str">
            <v>torr</v>
          </cell>
          <cell r="J13" t="str">
            <v>torr</v>
          </cell>
          <cell r="K13" t="str">
            <v>cal/h</v>
          </cell>
          <cell r="L13" t="str">
            <v>Mlb/hr</v>
          </cell>
          <cell r="N13" t="str">
            <v>kcal/kg-K</v>
          </cell>
          <cell r="O13" t="str">
            <v>kcal/kg-K</v>
          </cell>
          <cell r="Q13" t="str">
            <v>lbmole/h</v>
          </cell>
          <cell r="R13" t="str">
            <v>Btu/SCF</v>
          </cell>
          <cell r="S13" t="str">
            <v>kcal/kgmol-K</v>
          </cell>
          <cell r="T13" t="str">
            <v>kcal/kgmol-K</v>
          </cell>
          <cell r="V13" t="str">
            <v>cm3/h</v>
          </cell>
        </row>
        <row r="14">
          <cell r="I14" t="str">
            <v>mmHg(0C)</v>
          </cell>
          <cell r="J14" t="str">
            <v>mmHg(0C)</v>
          </cell>
          <cell r="K14" t="str">
            <v>kcal/min</v>
          </cell>
          <cell r="L14" t="str">
            <v>Mlb/day</v>
          </cell>
          <cell r="N14" t="str">
            <v>cal/g-C</v>
          </cell>
          <cell r="O14" t="str">
            <v>cal/g-C</v>
          </cell>
          <cell r="Q14" t="str">
            <v>MMSCFH</v>
          </cell>
          <cell r="R14" t="str">
            <v>Btu/MSCF</v>
          </cell>
          <cell r="S14" t="str">
            <v>cal/gmole-C</v>
          </cell>
          <cell r="T14" t="str">
            <v>cal/gmole-C</v>
          </cell>
          <cell r="V14" t="str">
            <v>cm3/min</v>
          </cell>
        </row>
        <row r="15">
          <cell r="I15" t="str">
            <v>inHg(32F)</v>
          </cell>
          <cell r="J15" t="str">
            <v>inHg(32F)</v>
          </cell>
          <cell r="K15" t="str">
            <v>cal/min</v>
          </cell>
          <cell r="L15" t="str">
            <v>MMlb/day</v>
          </cell>
          <cell r="N15" t="str">
            <v>cal/g-K</v>
          </cell>
          <cell r="O15" t="str">
            <v>cal/g-K</v>
          </cell>
          <cell r="Q15" t="str">
            <v>MMSCFD</v>
          </cell>
          <cell r="R15" t="str">
            <v>Btu/MMSCF</v>
          </cell>
          <cell r="S15" t="str">
            <v>cal/gmole-K</v>
          </cell>
          <cell r="T15" t="str">
            <v>cal/gmole-K</v>
          </cell>
          <cell r="V15" t="str">
            <v>cm3/s</v>
          </cell>
        </row>
        <row r="16">
          <cell r="I16" t="str">
            <v>inHg(60F)</v>
          </cell>
          <cell r="J16" t="str">
            <v>inHg(60F)</v>
          </cell>
          <cell r="K16" t="str">
            <v>kcal/s</v>
          </cell>
          <cell r="L16" t="str">
            <v>lb/day</v>
          </cell>
          <cell r="N16" t="str">
            <v>cal/kg-C</v>
          </cell>
          <cell r="O16" t="str">
            <v>cal/kg-C</v>
          </cell>
          <cell r="Q16" t="str">
            <v>kscfd</v>
          </cell>
          <cell r="R16" t="str">
            <v>kWh/Nm3*</v>
          </cell>
          <cell r="S16" t="str">
            <v>cal/kgmole-C</v>
          </cell>
          <cell r="T16" t="str">
            <v>cal/kgmole-C</v>
          </cell>
          <cell r="V16" t="str">
            <v>barrel/day</v>
          </cell>
        </row>
        <row r="17">
          <cell r="I17" t="str">
            <v>cmH2O(4C)</v>
          </cell>
          <cell r="J17" t="str">
            <v>cmH2O(4C)</v>
          </cell>
          <cell r="K17" t="str">
            <v>cal/s</v>
          </cell>
          <cell r="L17" t="str">
            <v>klb/day</v>
          </cell>
          <cell r="N17" t="str">
            <v>cal/kg-K</v>
          </cell>
          <cell r="O17" t="str">
            <v>cal/kg-K</v>
          </cell>
          <cell r="Q17" t="str">
            <v>MSCFD</v>
          </cell>
          <cell r="R17" t="str">
            <v>kcal/Nm3*</v>
          </cell>
          <cell r="S17" t="str">
            <v>cal/kgmole-K</v>
          </cell>
          <cell r="T17" t="str">
            <v>cal/kgmole-K</v>
          </cell>
          <cell r="V17" t="str">
            <v>kbpd</v>
          </cell>
        </row>
        <row r="18">
          <cell r="I18" t="str">
            <v>inH2O(60F)</v>
          </cell>
          <cell r="J18" t="str">
            <v>inH2O(60F)</v>
          </cell>
          <cell r="K18" t="str">
            <v>Btu/hr</v>
          </cell>
          <cell r="L18" t="str">
            <v>tn(short)/h</v>
          </cell>
          <cell r="N18" t="str">
            <v>Btu/lb-F</v>
          </cell>
          <cell r="O18" t="str">
            <v>Btu/lb-F</v>
          </cell>
          <cell r="Q18" t="str">
            <v>MSCFH</v>
          </cell>
          <cell r="R18" t="str">
            <v>J/mol*</v>
          </cell>
          <cell r="S18" t="str">
            <v>Btu/lbmole-F</v>
          </cell>
          <cell r="T18" t="str">
            <v>Btu/lbmole-F</v>
          </cell>
          <cell r="V18" t="str">
            <v>barrel/hr</v>
          </cell>
        </row>
        <row r="19">
          <cell r="I19" t="str">
            <v>kPag</v>
          </cell>
          <cell r="K19" t="str">
            <v>Btu/h</v>
          </cell>
          <cell r="L19" t="str">
            <v>tn(short)/d</v>
          </cell>
          <cell r="N19" t="str">
            <v>Btu/lb-F</v>
          </cell>
          <cell r="O19" t="str">
            <v>Btu/lb-F</v>
          </cell>
          <cell r="Q19" t="str">
            <v>scfd</v>
          </cell>
          <cell r="S19" t="str">
            <v>Btu/lbmole-F</v>
          </cell>
          <cell r="T19" t="str">
            <v>Btu/lbmole-F</v>
          </cell>
          <cell r="V19" t="str">
            <v>Mgal/day</v>
          </cell>
        </row>
        <row r="20">
          <cell r="I20" t="str">
            <v>MPag</v>
          </cell>
          <cell r="K20" t="str">
            <v>Btu(tc)/hr</v>
          </cell>
          <cell r="L20" t="str">
            <v>tn(long)/h</v>
          </cell>
          <cell r="N20" t="str">
            <v>Btu/lb-R</v>
          </cell>
          <cell r="O20" t="str">
            <v>Btu/lb-R</v>
          </cell>
          <cell r="Q20" t="str">
            <v>Nm3/h*</v>
          </cell>
          <cell r="S20" t="str">
            <v>Btu/lbmole-R</v>
          </cell>
          <cell r="T20" t="str">
            <v>Btu/lbmole-R</v>
          </cell>
          <cell r="V20" t="str">
            <v>MMgal/day</v>
          </cell>
        </row>
        <row r="21">
          <cell r="I21" t="str">
            <v>bar_g</v>
          </cell>
          <cell r="K21" t="str">
            <v>MMBtu/hr</v>
          </cell>
          <cell r="L21" t="str">
            <v>tn(long)/d</v>
          </cell>
          <cell r="S21" t="str">
            <v>kcal/Nm3/°C*</v>
          </cell>
          <cell r="T21" t="str">
            <v>kcal/Nm3/°C*</v>
          </cell>
          <cell r="V21" t="str">
            <v>USGPM</v>
          </cell>
        </row>
        <row r="22">
          <cell r="I22" t="str">
            <v>mbar_g</v>
          </cell>
          <cell r="K22" t="str">
            <v>MMBtu(tc)/hr</v>
          </cell>
          <cell r="L22" t="str">
            <v>kilo ton(short)/d</v>
          </cell>
          <cell r="S22" t="str">
            <v>J/mol.K*</v>
          </cell>
          <cell r="T22" t="str">
            <v>J/mol.K*</v>
          </cell>
          <cell r="V22" t="str">
            <v>USGPH</v>
          </cell>
        </row>
        <row r="23">
          <cell r="I23" t="str">
            <v>N/m2_g</v>
          </cell>
          <cell r="K23" t="str">
            <v>MMBtu/day</v>
          </cell>
          <cell r="L23" t="str">
            <v>kilo ton(long)/d</v>
          </cell>
          <cell r="V23" t="str">
            <v>ft3/hr</v>
          </cell>
        </row>
        <row r="24">
          <cell r="I24" t="str">
            <v>atm_g</v>
          </cell>
          <cell r="K24" t="str">
            <v>MMMBtu/day</v>
          </cell>
          <cell r="V24" t="str">
            <v>ft3/day</v>
          </cell>
        </row>
        <row r="25">
          <cell r="I25" t="str">
            <v>ate</v>
          </cell>
          <cell r="K25" t="str">
            <v>hp</v>
          </cell>
          <cell r="V25" t="str">
            <v>ft3/d</v>
          </cell>
        </row>
        <row r="26">
          <cell r="I26" t="str">
            <v>kg/cm2_g</v>
          </cell>
          <cell r="K26" t="str">
            <v>Mkcal/h</v>
          </cell>
        </row>
        <row r="27">
          <cell r="I27" t="str">
            <v>psig</v>
          </cell>
        </row>
        <row r="28">
          <cell r="I28" t="str">
            <v>lbf/ft2_g</v>
          </cell>
        </row>
        <row r="29">
          <cell r="I29" t="str">
            <v>torr_g</v>
          </cell>
        </row>
        <row r="30">
          <cell r="I30" t="str">
            <v>mmHg(0C)_g</v>
          </cell>
        </row>
        <row r="31">
          <cell r="I31" t="str">
            <v>inHg(32F)_g</v>
          </cell>
        </row>
        <row r="32">
          <cell r="I32" t="str">
            <v>inHg(60F)_g</v>
          </cell>
        </row>
        <row r="33">
          <cell r="I33" t="str">
            <v>cmH2O(4C)_g</v>
          </cell>
        </row>
        <row r="34">
          <cell r="I34" t="str">
            <v>inH2O(60F)_g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3"/>
  <sheetViews>
    <sheetView tabSelected="1" zoomScale="115" zoomScaleNormal="115" workbookViewId="0">
      <selection activeCell="L13" sqref="L13"/>
    </sheetView>
  </sheetViews>
  <sheetFormatPr defaultRowHeight="12.75"/>
  <cols>
    <col min="1" max="1" width="36.6640625" style="1" customWidth="1"/>
    <col min="2" max="2" width="11" style="1" hidden="1" customWidth="1"/>
    <col min="3" max="3" width="20.5" style="1" customWidth="1"/>
    <col min="4" max="4" width="21" style="1" customWidth="1"/>
    <col min="5" max="5" width="14" style="1" customWidth="1"/>
    <col min="6" max="6" width="14.6640625" style="1" bestFit="1" customWidth="1"/>
    <col min="7" max="7" width="14.1640625" style="1" customWidth="1"/>
    <col min="8" max="8" width="6" style="1" customWidth="1"/>
    <col min="9" max="10" width="9.33203125" style="54"/>
    <col min="11" max="11" width="15.1640625" style="1" bestFit="1" customWidth="1"/>
    <col min="12" max="14" width="11.5" style="1" customWidth="1"/>
    <col min="15" max="15" width="15" style="1" customWidth="1"/>
    <col min="16" max="16" width="11.5" style="1" customWidth="1"/>
    <col min="17" max="17" width="12.6640625" style="1" customWidth="1"/>
    <col min="18" max="20" width="14" style="1" bestFit="1" customWidth="1"/>
    <col min="21" max="25" width="9.33203125" style="1"/>
    <col min="26" max="26" width="28.1640625" style="1" customWidth="1"/>
    <col min="27" max="27" width="14" style="1" bestFit="1" customWidth="1"/>
    <col min="28" max="28" width="9.33203125" style="1"/>
    <col min="29" max="29" width="14" style="1" bestFit="1" customWidth="1"/>
    <col min="30" max="16384" width="9.33203125" style="1"/>
  </cols>
  <sheetData>
    <row r="1" spans="3:32">
      <c r="L1" s="21">
        <v>428.6</v>
      </c>
      <c r="O1" s="21">
        <v>1038</v>
      </c>
    </row>
    <row r="2" spans="3:32">
      <c r="K2" s="1" t="s">
        <v>207</v>
      </c>
      <c r="L2" s="21">
        <v>1</v>
      </c>
      <c r="O2" s="21">
        <v>1</v>
      </c>
    </row>
    <row r="3" spans="3:32">
      <c r="K3" s="1" t="s">
        <v>208</v>
      </c>
      <c r="L3" s="1">
        <f>L1/L2</f>
        <v>428.6</v>
      </c>
      <c r="O3" s="1">
        <f>O1/O2</f>
        <v>1038</v>
      </c>
      <c r="Q3" s="1" t="s">
        <v>189</v>
      </c>
      <c r="R3" s="1" t="s">
        <v>51</v>
      </c>
      <c r="S3" s="1" t="s">
        <v>50</v>
      </c>
      <c r="AA3" s="54"/>
      <c r="AB3" s="54"/>
    </row>
    <row r="4" spans="3:32">
      <c r="L4" s="16" t="s">
        <v>74</v>
      </c>
      <c r="M4" s="16"/>
      <c r="N4" s="16"/>
      <c r="O4" s="16" t="s">
        <v>75</v>
      </c>
      <c r="Q4" s="27" t="s">
        <v>90</v>
      </c>
      <c r="R4" s="28"/>
      <c r="S4" s="28"/>
      <c r="T4" s="28"/>
      <c r="U4" s="28"/>
      <c r="V4" s="29"/>
      <c r="Z4" s="53" t="s">
        <v>160</v>
      </c>
      <c r="AA4" s="55">
        <v>2.2000000000000002</v>
      </c>
      <c r="AB4" s="55">
        <v>2.6</v>
      </c>
      <c r="AD4" s="53" t="s">
        <v>160</v>
      </c>
      <c r="AE4" s="55">
        <v>2.6</v>
      </c>
      <c r="AF4" s="55">
        <v>2.6</v>
      </c>
    </row>
    <row r="5" spans="3:32">
      <c r="L5" s="1">
        <v>1.6</v>
      </c>
      <c r="Q5" s="27" t="s">
        <v>84</v>
      </c>
      <c r="R5" s="28"/>
      <c r="S5" s="29"/>
      <c r="T5" s="27" t="s">
        <v>85</v>
      </c>
      <c r="U5" s="28"/>
      <c r="V5" s="29"/>
      <c r="Z5" s="53" t="s">
        <v>161</v>
      </c>
      <c r="AA5" s="55">
        <v>1.05</v>
      </c>
      <c r="AB5" s="55">
        <f>AA6</f>
        <v>3.7073670726485015</v>
      </c>
      <c r="AD5" s="53" t="s">
        <v>161</v>
      </c>
      <c r="AE5" s="55">
        <v>1.01</v>
      </c>
      <c r="AF5" s="55">
        <f>AE6</f>
        <v>4.6588500294945367</v>
      </c>
    </row>
    <row r="6" spans="3:32" ht="25.5">
      <c r="K6" s="1" t="s">
        <v>69</v>
      </c>
      <c r="L6" s="21">
        <v>1.05</v>
      </c>
      <c r="O6" s="1">
        <f>L9</f>
        <v>4</v>
      </c>
      <c r="Q6" s="30" t="s">
        <v>83</v>
      </c>
      <c r="R6" s="31" t="s">
        <v>83</v>
      </c>
      <c r="S6" s="32" t="s">
        <v>83</v>
      </c>
      <c r="T6" s="30" t="s">
        <v>83</v>
      </c>
      <c r="U6" s="31" t="s">
        <v>83</v>
      </c>
      <c r="V6" s="32" t="s">
        <v>83</v>
      </c>
      <c r="Z6" s="53" t="s">
        <v>163</v>
      </c>
      <c r="AA6" s="55">
        <f>$AA$5*$AA$4^($L$5)</f>
        <v>3.7073670726485015</v>
      </c>
      <c r="AB6" s="55">
        <f>$AB$5*$AB$4^($L$5)</f>
        <v>17.101056629460935</v>
      </c>
      <c r="AD6" s="53" t="s">
        <v>163</v>
      </c>
      <c r="AE6" s="55">
        <f>$AE$5*$AE$4^($L$5)</f>
        <v>4.6588500294945367</v>
      </c>
      <c r="AF6" s="55">
        <f>$AB$5*$AB$4^($L$5)</f>
        <v>17.101056629460935</v>
      </c>
    </row>
    <row r="7" spans="3:32">
      <c r="K7" s="1" t="s">
        <v>70</v>
      </c>
      <c r="L7" s="21">
        <f>273+50</f>
        <v>323</v>
      </c>
      <c r="O7" s="21">
        <v>313</v>
      </c>
      <c r="Q7" s="33">
        <v>2.63</v>
      </c>
      <c r="R7" s="34">
        <v>3.65</v>
      </c>
      <c r="S7" s="35">
        <v>5.8</v>
      </c>
      <c r="T7" s="33">
        <v>2.63</v>
      </c>
      <c r="U7" s="34">
        <v>3.65</v>
      </c>
      <c r="V7" s="35">
        <v>5.8</v>
      </c>
      <c r="Z7" s="53" t="s">
        <v>162</v>
      </c>
      <c r="AA7" s="55">
        <f>AA6/AA5</f>
        <v>3.5308257834747634</v>
      </c>
      <c r="AB7" s="55">
        <f>AB6/AB5</f>
        <v>4.6127228014797392</v>
      </c>
      <c r="AD7" s="53" t="s">
        <v>162</v>
      </c>
      <c r="AE7" s="55">
        <f>AE6/AE5</f>
        <v>4.6127228014797392</v>
      </c>
      <c r="AF7" s="55">
        <f>AF6/AF5</f>
        <v>3.6706604679688128</v>
      </c>
    </row>
    <row r="8" spans="3:32">
      <c r="C8" s="17" t="s">
        <v>71</v>
      </c>
      <c r="D8" s="1">
        <v>28.958600656000002</v>
      </c>
      <c r="K8" s="1" t="s">
        <v>73</v>
      </c>
      <c r="L8" s="1">
        <f>D9*L6*273.15/(L7)*4/D8</f>
        <v>0.15647988511378624</v>
      </c>
      <c r="O8" s="1">
        <f>D9*O6*273.15/(O7)*4/D8</f>
        <v>0.61515901891681679</v>
      </c>
      <c r="Q8" s="36">
        <f>$L$6*$Q$7^($L$5)</f>
        <v>4.9330838410989841</v>
      </c>
      <c r="R8" s="37">
        <f>$L$6*$R$7^($L$5)</f>
        <v>8.3340841681596558</v>
      </c>
      <c r="S8" s="38">
        <f>$L$6*$S$7^($L$5)</f>
        <v>17.485340291798348</v>
      </c>
      <c r="T8" s="36">
        <f>$O$6*$T$7^($L$5)</f>
        <v>18.792700347043748</v>
      </c>
      <c r="U8" s="37">
        <f>$O$6*$U$7^($L$5)</f>
        <v>31.748892069179643</v>
      </c>
      <c r="V8" s="38">
        <f>$O$6*$V$7^($L$5)</f>
        <v>66.610820159231793</v>
      </c>
    </row>
    <row r="9" spans="3:32">
      <c r="C9" s="17" t="s">
        <v>72</v>
      </c>
      <c r="D9" s="1">
        <v>1.2758162153163073</v>
      </c>
      <c r="K9" s="1" t="s">
        <v>76</v>
      </c>
      <c r="L9" s="21">
        <v>4</v>
      </c>
      <c r="O9" s="21">
        <v>16</v>
      </c>
      <c r="Q9" s="1">
        <f>Q8/L6</f>
        <v>4.6981750867609371</v>
      </c>
      <c r="AA9" s="1">
        <v>3.5</v>
      </c>
      <c r="AB9" s="1">
        <v>3.5</v>
      </c>
      <c r="AE9" s="1">
        <v>3.5</v>
      </c>
      <c r="AF9" s="1">
        <v>3.5</v>
      </c>
    </row>
    <row r="10" spans="3:32">
      <c r="C10" s="17"/>
      <c r="K10" s="1" t="s">
        <v>226</v>
      </c>
      <c r="L10" s="21">
        <f>L9/L6</f>
        <v>3.8095238095238093</v>
      </c>
      <c r="O10" s="21">
        <f>O9/O6</f>
        <v>4</v>
      </c>
    </row>
    <row r="11" spans="3:32">
      <c r="K11" s="1" t="s">
        <v>227</v>
      </c>
      <c r="L11" s="20">
        <f>extrapol_(L9,IsoT_ratio,IsoT_LPL_MP)/100</f>
        <v>0.50600000000000001</v>
      </c>
      <c r="O11" s="20" t="e">
        <f>extrapol_(O9,IsoT_ratio,IsoT_MP_HP)/100</f>
        <v>#VALUE!</v>
      </c>
      <c r="AA11" s="1">
        <f>AA5*AA9</f>
        <v>3.6750000000000003</v>
      </c>
      <c r="AB11" s="1">
        <f>AA11*AB9</f>
        <v>12.862500000000001</v>
      </c>
      <c r="AE11" s="1">
        <f>AE5*AE9</f>
        <v>3.5350000000000001</v>
      </c>
      <c r="AF11" s="1">
        <f>AE11*AF9</f>
        <v>12.3725</v>
      </c>
    </row>
    <row r="12" spans="3:32">
      <c r="K12" s="1" t="s">
        <v>77</v>
      </c>
      <c r="L12" s="20">
        <f>extrapol_(L10,IsoT_ratio,IsoT_LPL_MP)/100</f>
        <v>0.50676190476190475</v>
      </c>
      <c r="O12" s="20">
        <f>extrapol_(O10,IsoT_ratio,IsoT_MP_HP)/100</f>
        <v>0.52400000000000002</v>
      </c>
    </row>
    <row r="13" spans="3:32">
      <c r="K13" s="1" t="s">
        <v>107</v>
      </c>
      <c r="L13" s="1">
        <f>(L9/L6)^(1/L5)</f>
        <v>2.306981876054075</v>
      </c>
      <c r="N13" s="1" t="s">
        <v>107</v>
      </c>
      <c r="O13" s="1">
        <f>(O9/O6)^(1/1.66)</f>
        <v>2.3050839232663227</v>
      </c>
      <c r="Q13" s="1">
        <v>1.05</v>
      </c>
      <c r="R13" s="1">
        <f>Q13*3.5</f>
        <v>3.6750000000000003</v>
      </c>
      <c r="S13" s="1">
        <f>R13*3.5</f>
        <v>12.862500000000001</v>
      </c>
      <c r="X13" s="16" t="s">
        <v>50</v>
      </c>
      <c r="Y13" s="16">
        <v>2.63</v>
      </c>
    </row>
    <row r="14" spans="3:32">
      <c r="I14" s="72">
        <v>0.85</v>
      </c>
      <c r="J14" s="72">
        <v>0.75</v>
      </c>
      <c r="L14" s="1">
        <f>L9/L6</f>
        <v>3.8095238095238093</v>
      </c>
      <c r="O14" s="1">
        <f>O9/O6</f>
        <v>4</v>
      </c>
      <c r="Q14" s="1">
        <v>2</v>
      </c>
      <c r="R14" s="1">
        <f>Q14*3.5</f>
        <v>7</v>
      </c>
      <c r="S14" s="1">
        <f>R14*3.5</f>
        <v>24.5</v>
      </c>
      <c r="X14" s="16" t="s">
        <v>51</v>
      </c>
      <c r="Y14" s="16">
        <v>3.65</v>
      </c>
      <c r="AC14" s="1">
        <v>1.1000000000000001</v>
      </c>
      <c r="AD14" s="1">
        <f>AC14*3.5</f>
        <v>3.8500000000000005</v>
      </c>
      <c r="AE14" s="1">
        <f>AD14*3.5</f>
        <v>13.475000000000001</v>
      </c>
    </row>
    <row r="15" spans="3:32">
      <c r="E15" s="13">
        <f>E16/60</f>
        <v>59.166666666666664</v>
      </c>
      <c r="F15" s="13">
        <f>F16/60</f>
        <v>49</v>
      </c>
      <c r="G15" s="13">
        <v>60</v>
      </c>
      <c r="I15" s="54" t="s">
        <v>74</v>
      </c>
      <c r="J15" s="54" t="s">
        <v>75</v>
      </c>
      <c r="K15" s="22">
        <v>50</v>
      </c>
      <c r="X15" s="16" t="s">
        <v>52</v>
      </c>
      <c r="Y15" s="16">
        <v>5.8</v>
      </c>
      <c r="AC15" s="1">
        <v>1.05</v>
      </c>
    </row>
    <row r="16" spans="3:32">
      <c r="C16" s="16" t="s">
        <v>67</v>
      </c>
      <c r="D16" s="16" t="s">
        <v>78</v>
      </c>
      <c r="E16" s="12">
        <v>3550</v>
      </c>
      <c r="F16" s="12">
        <v>2940</v>
      </c>
      <c r="G16" s="12">
        <v>3550</v>
      </c>
      <c r="I16" s="54" t="s">
        <v>68</v>
      </c>
      <c r="J16" s="54" t="s">
        <v>68</v>
      </c>
      <c r="K16" s="12">
        <f>K15/F15*F16</f>
        <v>3000</v>
      </c>
      <c r="L16" s="24" t="s">
        <v>79</v>
      </c>
      <c r="M16" s="24" t="s">
        <v>80</v>
      </c>
      <c r="N16" s="24"/>
      <c r="O16" s="24" t="s">
        <v>81</v>
      </c>
      <c r="P16" s="24" t="s">
        <v>82</v>
      </c>
      <c r="AC16" s="1">
        <v>7</v>
      </c>
    </row>
    <row r="17" spans="1:29" ht="25.5">
      <c r="A17" s="1" t="str">
        <f t="shared" ref="A17:A64" si="0">C17&amp;"-"&amp;D17&amp;" "&amp;K17&amp;" m3/h"</f>
        <v>MYCOM-125SUD 201,12676056338 m3/h</v>
      </c>
      <c r="C17" s="41" t="s">
        <v>66</v>
      </c>
      <c r="D17" s="1" t="s">
        <v>53</v>
      </c>
      <c r="E17" s="14">
        <v>140</v>
      </c>
      <c r="F17" s="15">
        <f>G17*$F$16/$G$16</f>
        <v>197.10422535211268</v>
      </c>
      <c r="G17" s="15">
        <v>238</v>
      </c>
      <c r="I17" s="73">
        <f>$I$14</f>
        <v>0.85</v>
      </c>
      <c r="J17" s="73">
        <f>$J$14</f>
        <v>0.75</v>
      </c>
      <c r="K17" s="15">
        <f>F17*$K$16/$F$16</f>
        <v>201.12676056338029</v>
      </c>
      <c r="L17" s="18">
        <f t="shared" ref="L17:L34" si="1">K17*$L$8*1000/3600</f>
        <v>8.7423034406293727</v>
      </c>
      <c r="M17" s="23">
        <f>L17*8.314*$L$7/4*LN($L$9/$L$6)/$L$12/1000</f>
        <v>15.490649281058843</v>
      </c>
      <c r="O17" s="18">
        <f t="shared" ref="O17:O34" si="2">K17*$O$8*1000/3600</f>
        <v>34.368039085024044</v>
      </c>
      <c r="P17" s="23">
        <f>O17*8.314*$O$7/4*LN($O$9/$O$6)/$O$12/1000</f>
        <v>59.152525263212858</v>
      </c>
      <c r="AC17" s="1">
        <f>AC16/AC15</f>
        <v>6.6666666666666661</v>
      </c>
    </row>
    <row r="18" spans="1:29" ht="25.5">
      <c r="A18" s="1" t="str">
        <f t="shared" si="0"/>
        <v>MYCOM-200 VSD 824,788732394366 m3/h</v>
      </c>
      <c r="C18" s="41" t="s">
        <v>66</v>
      </c>
      <c r="D18" s="1" t="s">
        <v>56</v>
      </c>
      <c r="E18" s="14">
        <v>574</v>
      </c>
      <c r="F18" s="15">
        <f t="shared" ref="F18:F33" si="3">G18*$F$16/$G$16</f>
        <v>808.29295774647892</v>
      </c>
      <c r="G18" s="15">
        <v>976</v>
      </c>
      <c r="I18" s="73">
        <f t="shared" ref="I18:I83" si="4">$I$14</f>
        <v>0.85</v>
      </c>
      <c r="J18" s="73">
        <f t="shared" ref="J18:J83" si="5">$J$14</f>
        <v>0.75</v>
      </c>
      <c r="K18" s="15">
        <f t="shared" ref="K18:K31" si="6">F18*$K$16/$F$16</f>
        <v>824.78873239436621</v>
      </c>
      <c r="L18" s="18">
        <f t="shared" si="1"/>
        <v>35.85079058005995</v>
      </c>
      <c r="M18" s="23">
        <f>L18*8.314*$L$7/4*LN($L$9/$L$6)/$L$12/1000</f>
        <v>63.524679404678281</v>
      </c>
      <c r="O18" s="18">
        <f t="shared" si="2"/>
        <v>140.93784095371203</v>
      </c>
      <c r="P18" s="23">
        <f>O18*8.314*$O$7/4*LN($O$9/$O$6)/$O$12/1000</f>
        <v>242.57506158359553</v>
      </c>
    </row>
    <row r="19" spans="1:29" ht="25.5">
      <c r="A19" s="1" t="str">
        <f t="shared" si="0"/>
        <v>MYCOM-200 VMD 1031,83098591549 m3/h</v>
      </c>
      <c r="C19" s="41" t="s">
        <v>66</v>
      </c>
      <c r="D19" s="1" t="s">
        <v>57</v>
      </c>
      <c r="E19" s="14">
        <v>718</v>
      </c>
      <c r="F19" s="15">
        <f t="shared" si="3"/>
        <v>1011.1943661971831</v>
      </c>
      <c r="G19" s="15">
        <v>1221</v>
      </c>
      <c r="I19" s="73">
        <f t="shared" si="4"/>
        <v>0.85</v>
      </c>
      <c r="J19" s="73">
        <f t="shared" si="5"/>
        <v>0.75</v>
      </c>
      <c r="K19" s="15">
        <f t="shared" si="6"/>
        <v>1031.8309859154929</v>
      </c>
      <c r="L19" s="18">
        <f t="shared" si="1"/>
        <v>44.850220592472532</v>
      </c>
      <c r="M19" s="23">
        <f>L19*8.314*$L$7/4*LN($L$9/$L$6)/$L$12/1000</f>
        <v>79.470936017532964</v>
      </c>
      <c r="O19" s="18">
        <f t="shared" si="2"/>
        <v>176.31670471770735</v>
      </c>
      <c r="P19" s="23">
        <f>O19*8.314*$O$7/4*LN($O$9/$O$6)/$O$12/1000</f>
        <v>303.46736700160869</v>
      </c>
    </row>
    <row r="20" spans="1:29" ht="25.5">
      <c r="A20" s="1" t="str">
        <f t="shared" si="0"/>
        <v>MYCOM-200 VLD 1234,64788732394 m3/h</v>
      </c>
      <c r="C20" s="41" t="s">
        <v>66</v>
      </c>
      <c r="D20" s="1" t="s">
        <v>58</v>
      </c>
      <c r="E20" s="14">
        <v>859</v>
      </c>
      <c r="F20" s="15">
        <f t="shared" si="3"/>
        <v>1209.9549295774648</v>
      </c>
      <c r="G20" s="15">
        <v>1461</v>
      </c>
      <c r="I20" s="73">
        <f t="shared" si="4"/>
        <v>0.85</v>
      </c>
      <c r="J20" s="73">
        <f t="shared" si="5"/>
        <v>0.75</v>
      </c>
      <c r="K20" s="15">
        <f t="shared" si="6"/>
        <v>1234.6478873239437</v>
      </c>
      <c r="L20" s="18">
        <f t="shared" si="1"/>
        <v>53.665988767897112</v>
      </c>
      <c r="M20" s="23">
        <f>L20*8.314*$L$7/4*LN($L$9/$L$6)/$L$12/1000</f>
        <v>95.091758821962046</v>
      </c>
      <c r="O20" s="18">
        <f t="shared" si="2"/>
        <v>210.97355085386607</v>
      </c>
      <c r="P20" s="23">
        <f>O20*8.314*$O$7/4*LN($O$9/$O$6)/$O$12/1000</f>
        <v>363.11697230905025</v>
      </c>
    </row>
    <row r="21" spans="1:29" ht="25.5">
      <c r="A21" s="1" t="str">
        <f t="shared" si="0"/>
        <v>MYCOM-250 VSD 1609,01408450704 m3/h</v>
      </c>
      <c r="C21" s="41" t="s">
        <v>66</v>
      </c>
      <c r="D21" s="1" t="s">
        <v>59</v>
      </c>
      <c r="E21" s="14">
        <v>1120</v>
      </c>
      <c r="F21" s="15">
        <f t="shared" si="3"/>
        <v>1576.8338028169014</v>
      </c>
      <c r="G21" s="15">
        <v>1904</v>
      </c>
      <c r="I21" s="73">
        <f t="shared" si="4"/>
        <v>0.85</v>
      </c>
      <c r="J21" s="73">
        <f t="shared" si="5"/>
        <v>0.75</v>
      </c>
      <c r="K21" s="15">
        <f t="shared" si="6"/>
        <v>1609.0140845070423</v>
      </c>
      <c r="L21" s="18">
        <f t="shared" si="1"/>
        <v>69.938427525034982</v>
      </c>
      <c r="M21" s="23">
        <f>L21*8.314*$L$7/4*LN($L$9/$L$6)/$L$12/1000</f>
        <v>123.92519424847075</v>
      </c>
      <c r="O21" s="18">
        <f t="shared" si="2"/>
        <v>274.94431268019235</v>
      </c>
      <c r="P21" s="23">
        <f>O21*8.314*$O$7/4*LN($O$9/$O$6)/$O$12/1000</f>
        <v>473.22020210570287</v>
      </c>
    </row>
    <row r="22" spans="1:29" ht="25.5">
      <c r="A22" s="1" t="str">
        <f t="shared" si="0"/>
        <v>MYCOM-250 VMD 2011,2676056338 m3/h</v>
      </c>
      <c r="C22" s="41" t="s">
        <v>66</v>
      </c>
      <c r="D22" s="1" t="s">
        <v>60</v>
      </c>
      <c r="E22" s="14">
        <v>1400</v>
      </c>
      <c r="F22" s="15">
        <f t="shared" si="3"/>
        <v>1971.0422535211267</v>
      </c>
      <c r="G22" s="15">
        <v>2380</v>
      </c>
      <c r="I22" s="73">
        <f t="shared" si="4"/>
        <v>0.85</v>
      </c>
      <c r="J22" s="73">
        <f t="shared" si="5"/>
        <v>0.75</v>
      </c>
      <c r="K22" s="15">
        <f t="shared" si="6"/>
        <v>2011.2676056338028</v>
      </c>
      <c r="L22" s="18">
        <f t="shared" si="1"/>
        <v>87.423034406293723</v>
      </c>
      <c r="M22" s="23">
        <f>L22*8.314*$L$7/4*LN($L$9/$L$6)/$L$12/1000</f>
        <v>154.90649281058842</v>
      </c>
      <c r="O22" s="18">
        <f t="shared" si="2"/>
        <v>343.68039085024037</v>
      </c>
      <c r="P22" s="23">
        <f>O22*8.314*$O$7/4*LN($O$9/$O$6)/$O$12/1000</f>
        <v>591.5252526321284</v>
      </c>
    </row>
    <row r="23" spans="1:29">
      <c r="A23" s="1" t="str">
        <f t="shared" si="0"/>
        <v>MYCOM-250 VLD 2400 m3/h</v>
      </c>
      <c r="C23" s="41" t="s">
        <v>66</v>
      </c>
      <c r="D23" s="1" t="s">
        <v>61</v>
      </c>
      <c r="E23" s="14">
        <v>1670</v>
      </c>
      <c r="F23" s="15">
        <f t="shared" si="3"/>
        <v>2352</v>
      </c>
      <c r="G23" s="15">
        <v>2840</v>
      </c>
      <c r="I23" s="73">
        <f t="shared" si="4"/>
        <v>0.85</v>
      </c>
      <c r="J23" s="73">
        <f t="shared" si="5"/>
        <v>0.75</v>
      </c>
      <c r="K23" s="15">
        <f t="shared" si="6"/>
        <v>2400</v>
      </c>
      <c r="L23" s="18">
        <f t="shared" si="1"/>
        <v>104.31992340919082</v>
      </c>
      <c r="M23" s="23">
        <f>L23*8.314*$L$7/4*LN($L$9/$L$6)/$L$12/1000</f>
        <v>184.84640318574418</v>
      </c>
      <c r="O23" s="18">
        <f t="shared" si="2"/>
        <v>410.10601261121121</v>
      </c>
      <c r="P23" s="23">
        <f>O23*8.314*$O$7/4*LN($O$9/$O$6)/$O$12/1000</f>
        <v>705.85366280472465</v>
      </c>
    </row>
    <row r="24" spans="1:29" ht="25.5">
      <c r="A24" s="1" t="str">
        <f t="shared" si="0"/>
        <v>MYCOM-250 VLLD 2845,35211267606 m3/h</v>
      </c>
      <c r="C24" s="41" t="s">
        <v>66</v>
      </c>
      <c r="D24" s="1" t="s">
        <v>62</v>
      </c>
      <c r="E24" s="14">
        <v>1980</v>
      </c>
      <c r="F24" s="15">
        <f t="shared" si="3"/>
        <v>2788.4450704225351</v>
      </c>
      <c r="G24" s="15">
        <v>3367</v>
      </c>
      <c r="I24" s="73">
        <f t="shared" si="4"/>
        <v>0.85</v>
      </c>
      <c r="J24" s="73">
        <f t="shared" si="5"/>
        <v>0.75</v>
      </c>
      <c r="K24" s="15">
        <f t="shared" si="6"/>
        <v>2845.3521126760561</v>
      </c>
      <c r="L24" s="18">
        <f t="shared" si="1"/>
        <v>123.67788102772728</v>
      </c>
      <c r="M24" s="23">
        <f>L24*8.314*$L$7/4*LN($L$9/$L$6)/$L$12/1000</f>
        <v>219.14712659380299</v>
      </c>
      <c r="O24" s="18">
        <f t="shared" si="2"/>
        <v>486.20667058519297</v>
      </c>
      <c r="P24" s="23">
        <f>O24*8.314*$O$7/4*LN($O$9/$O$6)/$O$12/1000</f>
        <v>836.83425445898172</v>
      </c>
    </row>
    <row r="25" spans="1:29" ht="25.5" collapsed="1">
      <c r="A25" s="1" t="str">
        <f t="shared" si="0"/>
        <v>MYCOM-320 VSD 3233,23943661972 m3/h</v>
      </c>
      <c r="C25" s="41" t="s">
        <v>66</v>
      </c>
      <c r="D25" s="1" t="s">
        <v>63</v>
      </c>
      <c r="E25" s="14">
        <v>2250</v>
      </c>
      <c r="F25" s="15">
        <f t="shared" si="3"/>
        <v>3168.5746478873239</v>
      </c>
      <c r="G25" s="15">
        <v>3826</v>
      </c>
      <c r="I25" s="73">
        <f t="shared" si="4"/>
        <v>0.85</v>
      </c>
      <c r="J25" s="73">
        <f t="shared" si="5"/>
        <v>0.75</v>
      </c>
      <c r="K25" s="15">
        <f t="shared" si="6"/>
        <v>3233.2394366197182</v>
      </c>
      <c r="L25" s="18">
        <f t="shared" si="1"/>
        <v>140.53803766322679</v>
      </c>
      <c r="M25" s="23">
        <f>L25*8.314*$L$7/4*LN($L$9/$L$6)/$L$12/1000</f>
        <v>249.02195020727362</v>
      </c>
      <c r="O25" s="18">
        <f t="shared" si="2"/>
        <v>552.48788882059648</v>
      </c>
      <c r="P25" s="23">
        <f>O25*8.314*$O$7/4*LN($O$9/$O$6)/$O$12/1000</f>
        <v>950.91412460946367</v>
      </c>
    </row>
    <row r="26" spans="1:29" ht="25.5">
      <c r="A26" s="1" t="str">
        <f t="shared" si="0"/>
        <v>MYCOM-320 VMD 4023,38028169014 m3/h</v>
      </c>
      <c r="C26" s="41" t="s">
        <v>66</v>
      </c>
      <c r="D26" s="1" t="s">
        <v>64</v>
      </c>
      <c r="E26" s="14">
        <v>2800</v>
      </c>
      <c r="F26" s="15">
        <f t="shared" si="3"/>
        <v>3942.9126760563381</v>
      </c>
      <c r="G26" s="15">
        <v>4761</v>
      </c>
      <c r="I26" s="73">
        <f t="shared" si="4"/>
        <v>0.85</v>
      </c>
      <c r="J26" s="73">
        <f t="shared" si="5"/>
        <v>0.75</v>
      </c>
      <c r="K26" s="15">
        <f t="shared" si="6"/>
        <v>4023.3802816901407</v>
      </c>
      <c r="L26" s="18">
        <f t="shared" si="1"/>
        <v>174.88280117998502</v>
      </c>
      <c r="M26" s="23">
        <f>L26*8.314*$L$7/4*LN($L$9/$L$6)/$L$12/1000</f>
        <v>309.87807238286194</v>
      </c>
      <c r="O26" s="18">
        <f t="shared" si="2"/>
        <v>687.50518522604807</v>
      </c>
      <c r="P26" s="23">
        <f>O26*8.314*$O$7/4*LN($O$9/$O$6)/$O$12/1000</f>
        <v>1183.299045286371</v>
      </c>
    </row>
    <row r="27" spans="1:29" ht="25.5">
      <c r="A27" s="1" t="str">
        <f>C27&amp;"-"&amp;D27&amp;" "&amp;K27&amp;" m3/h"</f>
        <v>MYCOM-320 MUD 4081,63265306122 m3/h</v>
      </c>
      <c r="C27" s="41" t="s">
        <v>66</v>
      </c>
      <c r="D27" s="1" t="s">
        <v>210</v>
      </c>
      <c r="E27" s="14">
        <f t="shared" ref="E27:E29" si="7">F27/1.699011*$E$16/$F$16</f>
        <v>2842.7902896385699</v>
      </c>
      <c r="F27" s="15">
        <v>4000</v>
      </c>
      <c r="G27" s="15">
        <v>5696</v>
      </c>
      <c r="I27" s="73">
        <f t="shared" si="4"/>
        <v>0.85</v>
      </c>
      <c r="J27" s="73">
        <f t="shared" si="5"/>
        <v>0.75</v>
      </c>
      <c r="K27" s="15">
        <f>F27*$K$16/$F$16</f>
        <v>4081.6326530612246</v>
      </c>
      <c r="L27" s="18">
        <f>K27*$L$8*1000/3600</f>
        <v>177.4148357299164</v>
      </c>
      <c r="M27" s="23">
        <f>L27*8.314*$L$7/4*LN($L$9/$L$6)/$L$12/1000</f>
        <v>314.36463126827243</v>
      </c>
      <c r="N27" s="19"/>
      <c r="O27" s="18">
        <f>K27*$O$8*1000/3600</f>
        <v>697.45920512110763</v>
      </c>
      <c r="P27" s="23">
        <f>O27*8.314*$O$7/4*LN($O$9/$O$6)/$O$12/1000</f>
        <v>1200.4313993277631</v>
      </c>
      <c r="Q27" s="1" t="s">
        <v>211</v>
      </c>
    </row>
    <row r="28" spans="1:29" ht="25.5">
      <c r="A28" s="1" t="str">
        <f t="shared" si="0"/>
        <v>MYCOM-320 VLD 4813,52112676056 m3/h</v>
      </c>
      <c r="C28" s="41" t="s">
        <v>66</v>
      </c>
      <c r="D28" s="1" t="s">
        <v>65</v>
      </c>
      <c r="E28" s="14">
        <v>3350</v>
      </c>
      <c r="F28" s="15">
        <f t="shared" si="3"/>
        <v>4717.2507042253519</v>
      </c>
      <c r="G28" s="15">
        <v>5696</v>
      </c>
      <c r="I28" s="73">
        <f t="shared" si="4"/>
        <v>0.85</v>
      </c>
      <c r="J28" s="73">
        <f t="shared" si="5"/>
        <v>0.75</v>
      </c>
      <c r="K28" s="15">
        <f t="shared" si="6"/>
        <v>4813.5211267605637</v>
      </c>
      <c r="L28" s="18">
        <f t="shared" si="1"/>
        <v>209.22756469674331</v>
      </c>
      <c r="M28" s="23">
        <f>L28*8.314*$L$7/4*LN($L$9/$L$6)/$L$12/1000</f>
        <v>370.73419455845038</v>
      </c>
      <c r="N28" s="19"/>
      <c r="O28" s="18">
        <f t="shared" si="2"/>
        <v>822.52248163149966</v>
      </c>
      <c r="P28" s="23">
        <f>O28*8.314*$O$7/4*LN($O$9/$O$6)/$O$12/1000</f>
        <v>1415.683965963279</v>
      </c>
    </row>
    <row r="29" spans="1:29" ht="25.5">
      <c r="A29" s="1" t="str">
        <f t="shared" ref="A29" si="8">C29&amp;"-"&amp;D29&amp;" "&amp;K29&amp;" m3/h"</f>
        <v>MYCOM-320 LLUD 5714,28571428571 m3/h</v>
      </c>
      <c r="C29" s="41" t="s">
        <v>66</v>
      </c>
      <c r="D29" s="1" t="s">
        <v>209</v>
      </c>
      <c r="E29" s="14">
        <f t="shared" si="7"/>
        <v>3979.9064054939972</v>
      </c>
      <c r="F29" s="15">
        <v>5600</v>
      </c>
      <c r="G29" s="15">
        <v>5696</v>
      </c>
      <c r="I29" s="73">
        <f t="shared" si="4"/>
        <v>0.85</v>
      </c>
      <c r="J29" s="73">
        <f t="shared" si="5"/>
        <v>0.75</v>
      </c>
      <c r="K29" s="15">
        <f t="shared" ref="K29" si="9">F29*$K$16/$F$16</f>
        <v>5714.2857142857147</v>
      </c>
      <c r="L29" s="18">
        <f t="shared" ref="L29" si="10">K29*$L$8*1000/3600</f>
        <v>248.38077002188294</v>
      </c>
      <c r="M29" s="23">
        <f>L29*8.314*$L$7/4*LN($L$9/$L$6)/$L$12/1000</f>
        <v>440.11048377558143</v>
      </c>
      <c r="N29" s="19"/>
      <c r="O29" s="18">
        <f t="shared" ref="O29" si="11">K29*$O$8*1000/3600</f>
        <v>976.44288716955043</v>
      </c>
      <c r="P29" s="23">
        <f>O29*8.314*$O$7/4*LN($O$9/$O$6)/$O$12/1000</f>
        <v>1680.6039590588682</v>
      </c>
      <c r="Q29" s="1" t="s">
        <v>211</v>
      </c>
    </row>
    <row r="30" spans="1:29" ht="25.5">
      <c r="A30" s="1" t="str">
        <f t="shared" si="0"/>
        <v>MYCOM-400SUD 6594,92957746479 m3/h</v>
      </c>
      <c r="C30" s="41" t="s">
        <v>66</v>
      </c>
      <c r="D30" s="1" t="s">
        <v>55</v>
      </c>
      <c r="E30" s="14">
        <v>4590</v>
      </c>
      <c r="F30" s="15">
        <f t="shared" si="3"/>
        <v>6463.0309859154931</v>
      </c>
      <c r="G30" s="15">
        <v>7804</v>
      </c>
      <c r="I30" s="73">
        <f t="shared" si="4"/>
        <v>0.85</v>
      </c>
      <c r="J30" s="73">
        <f t="shared" si="5"/>
        <v>0.75</v>
      </c>
      <c r="K30" s="15">
        <f t="shared" si="6"/>
        <v>6594.929577464789</v>
      </c>
      <c r="L30" s="18">
        <f t="shared" si="1"/>
        <v>286.65939517088918</v>
      </c>
      <c r="M30" s="23">
        <f>L30*8.314*$L$7/4*LN($L$9/$L$6)/$L$12/1000</f>
        <v>507.9370881906857</v>
      </c>
      <c r="N30" s="19"/>
      <c r="O30" s="18">
        <f t="shared" si="2"/>
        <v>1126.9251135274269</v>
      </c>
      <c r="P30" s="23">
        <f>O30*8.314*$O$7/4*LN($O$9/$O$6)/$O$12/1000</f>
        <v>1939.6063325803073</v>
      </c>
    </row>
    <row r="31" spans="1:29" ht="25.5">
      <c r="A31" s="1" t="str">
        <f t="shared" si="0"/>
        <v>MYCOM-400MUD 8190,42253521127 m3/h</v>
      </c>
      <c r="C31" s="41" t="s">
        <v>66</v>
      </c>
      <c r="D31" s="1" t="s">
        <v>54</v>
      </c>
      <c r="E31" s="14">
        <v>5760</v>
      </c>
      <c r="F31" s="15">
        <f t="shared" si="3"/>
        <v>8026.6140845070422</v>
      </c>
      <c r="G31" s="15">
        <v>9692</v>
      </c>
      <c r="I31" s="73">
        <f t="shared" si="4"/>
        <v>0.85</v>
      </c>
      <c r="J31" s="73">
        <f t="shared" si="5"/>
        <v>0.75</v>
      </c>
      <c r="K31" s="15">
        <f t="shared" si="6"/>
        <v>8190.4225352112671</v>
      </c>
      <c r="L31" s="18">
        <f t="shared" si="1"/>
        <v>356.01010481756248</v>
      </c>
      <c r="M31" s="23">
        <f>L31*8.314*$L$7/4*LN($L$9/$L$6)/$L$12/1000</f>
        <v>630.82089425219442</v>
      </c>
      <c r="N31" s="19"/>
      <c r="O31" s="18">
        <f t="shared" si="2"/>
        <v>1399.5589697985417</v>
      </c>
      <c r="P31" s="23">
        <f>O31*8.314*$O$7/4*LN($O$9/$O$6)/$O$12/1000</f>
        <v>2408.8498943321797</v>
      </c>
    </row>
    <row r="32" spans="1:29">
      <c r="A32" s="1" t="str">
        <f t="shared" si="0"/>
        <v>MYCOM-400LUD 9900 m3/h</v>
      </c>
      <c r="C32" s="41" t="s">
        <v>66</v>
      </c>
      <c r="D32" s="1" t="s">
        <v>108</v>
      </c>
      <c r="E32" s="14">
        <v>5760</v>
      </c>
      <c r="F32" s="15">
        <f t="shared" si="3"/>
        <v>9702</v>
      </c>
      <c r="G32" s="15">
        <v>11715</v>
      </c>
      <c r="I32" s="73">
        <f t="shared" si="4"/>
        <v>0.85</v>
      </c>
      <c r="J32" s="73">
        <f t="shared" si="5"/>
        <v>0.75</v>
      </c>
      <c r="K32" s="15">
        <f t="shared" ref="K32" si="12">F32*$K$16/$F$16</f>
        <v>9900</v>
      </c>
      <c r="L32" s="18">
        <f t="shared" si="1"/>
        <v>430.31968406291219</v>
      </c>
      <c r="M32" s="23">
        <f>L32*8.314*$L$7/4*LN($L$9/$L$6)/$L$12/1000</f>
        <v>762.4914131411947</v>
      </c>
      <c r="N32" s="19"/>
      <c r="O32" s="18">
        <f t="shared" si="2"/>
        <v>1691.6873020212461</v>
      </c>
      <c r="P32" s="23">
        <f>O32*8.314*$O$7/4*LN($O$9/$O$6)/$O$12/1000</f>
        <v>2911.6463590694884</v>
      </c>
    </row>
    <row r="33" spans="1:20" ht="25.5">
      <c r="A33" s="1" t="str">
        <f t="shared" si="0"/>
        <v>MYCOM-400LLUD 11667,8873239437 m3/h</v>
      </c>
      <c r="C33" s="41" t="s">
        <v>66</v>
      </c>
      <c r="D33" s="1" t="s">
        <v>109</v>
      </c>
      <c r="E33" s="14">
        <v>5760</v>
      </c>
      <c r="F33" s="15">
        <f t="shared" si="3"/>
        <v>11434.529577464789</v>
      </c>
      <c r="G33" s="15">
        <v>13807</v>
      </c>
      <c r="I33" s="73">
        <f t="shared" si="4"/>
        <v>0.85</v>
      </c>
      <c r="J33" s="73">
        <f t="shared" si="5"/>
        <v>0.75</v>
      </c>
      <c r="K33" s="15">
        <f t="shared" ref="K33" si="13">F33*$K$16/$F$16</f>
        <v>11667.887323943662</v>
      </c>
      <c r="L33" s="18">
        <f t="shared" si="1"/>
        <v>507.16379665869636</v>
      </c>
      <c r="M33" s="23">
        <f>L33*8.314*$L$7/4*LN($L$9/$L$6)/$L$12/1000</f>
        <v>898.65291858646822</v>
      </c>
      <c r="N33" s="19"/>
      <c r="O33" s="18">
        <f t="shared" si="2"/>
        <v>1993.7794775080961</v>
      </c>
      <c r="P33" s="23">
        <f>O33*8.314*$O$7/4*LN($O$9/$O$6)/$O$12/1000</f>
        <v>3431.5920853326879</v>
      </c>
    </row>
    <row r="34" spans="1:20" ht="25.5">
      <c r="A34" s="1" t="str">
        <f t="shared" si="0"/>
        <v>Howden-WRV 163/1.45 561,224489795918 m3/h</v>
      </c>
      <c r="C34" s="39" t="s">
        <v>86</v>
      </c>
      <c r="D34" s="1" t="s">
        <v>2</v>
      </c>
      <c r="E34" s="14">
        <f>F34/1.699011*$E$16/$F$16</f>
        <v>390.88366482530336</v>
      </c>
      <c r="F34" s="15">
        <v>550</v>
      </c>
      <c r="G34" s="15">
        <f>$G$16/$F$16*F34</f>
        <v>664.11564625850338</v>
      </c>
      <c r="I34" s="73">
        <f t="shared" si="4"/>
        <v>0.85</v>
      </c>
      <c r="J34" s="73">
        <f t="shared" si="5"/>
        <v>0.75</v>
      </c>
      <c r="K34" s="15">
        <f>F34*$K$16/$F$16</f>
        <v>561.22448979591832</v>
      </c>
      <c r="L34" s="18">
        <f t="shared" si="1"/>
        <v>24.394539912863504</v>
      </c>
      <c r="M34" s="23">
        <f>L34*8.314*$L$7/4*LN($L$9/$L$6)/$L$12/1000</f>
        <v>43.225136799387457</v>
      </c>
      <c r="O34" s="18">
        <f t="shared" si="2"/>
        <v>95.900640704152266</v>
      </c>
      <c r="P34" s="23">
        <f>O34*8.314*$O$7/4*LN($O$9/$O$6)/$O$12/1000</f>
        <v>165.05931740756739</v>
      </c>
    </row>
    <row r="35" spans="1:20" ht="25.5">
      <c r="A35" s="1" t="str">
        <f t="shared" si="0"/>
        <v>Howden-WRV 163/1.80 693,877551020408 m3/h</v>
      </c>
      <c r="C35" s="39" t="s">
        <v>86</v>
      </c>
      <c r="D35" s="1" t="s">
        <v>3</v>
      </c>
      <c r="E35" s="14">
        <f t="shared" ref="E35:E54" si="14">F35/1.699011*$E$16/$F$16</f>
        <v>483.27434923855674</v>
      </c>
      <c r="F35" s="15">
        <v>680</v>
      </c>
      <c r="G35" s="15">
        <f t="shared" ref="G35:G64" si="15">$G$16/$F$16*F35</f>
        <v>821.08843537414964</v>
      </c>
      <c r="I35" s="73">
        <f t="shared" si="4"/>
        <v>0.85</v>
      </c>
      <c r="J35" s="73">
        <f t="shared" si="5"/>
        <v>0.75</v>
      </c>
      <c r="K35" s="15">
        <f t="shared" ref="K35:K54" si="16">F35*$K$16/$F$16</f>
        <v>693.87755102040819</v>
      </c>
      <c r="L35" s="18">
        <f t="shared" ref="L35:L54" si="17">K35*$L$8*1000/3600</f>
        <v>30.160522074085783</v>
      </c>
      <c r="M35" s="23">
        <f>L35*8.314*$L$7/4*LN($L$9/$L$6)/$L$12/1000</f>
        <v>53.441987315606305</v>
      </c>
      <c r="O35" s="18">
        <f t="shared" ref="O35:O54" si="18">K35*$O$8*1000/3600</f>
        <v>118.56806487058827</v>
      </c>
      <c r="P35" s="23">
        <f>O35*8.314*$O$7/4*LN($O$9/$O$6)/$O$12/1000</f>
        <v>204.07333788571972</v>
      </c>
    </row>
    <row r="36" spans="1:20" ht="25.5">
      <c r="A36" s="1" t="str">
        <f t="shared" si="0"/>
        <v>Howden-WRV 204/1.10 831,632653061224 m3/h</v>
      </c>
      <c r="C36" s="39" t="s">
        <v>86</v>
      </c>
      <c r="D36" s="1" t="s">
        <v>4</v>
      </c>
      <c r="E36" s="14">
        <f t="shared" si="14"/>
        <v>579.21852151385849</v>
      </c>
      <c r="F36" s="15">
        <v>815</v>
      </c>
      <c r="G36" s="15">
        <f t="shared" si="15"/>
        <v>984.09863945578218</v>
      </c>
      <c r="I36" s="73">
        <f t="shared" si="4"/>
        <v>0.85</v>
      </c>
      <c r="J36" s="73">
        <f t="shared" si="5"/>
        <v>0.75</v>
      </c>
      <c r="K36" s="15">
        <f t="shared" si="16"/>
        <v>831.63265306122446</v>
      </c>
      <c r="L36" s="18">
        <f t="shared" si="17"/>
        <v>36.148272779970455</v>
      </c>
      <c r="M36" s="23">
        <f>L36*8.314*$L$7/4*LN($L$9/$L$6)/$L$12/1000</f>
        <v>64.051793620910487</v>
      </c>
      <c r="O36" s="18">
        <f t="shared" si="18"/>
        <v>142.10731304342565</v>
      </c>
      <c r="P36" s="23">
        <f>O36*8.314*$O$7/4*LN($O$9/$O$6)/$O$12/1000</f>
        <v>244.58789761303171</v>
      </c>
    </row>
    <row r="37" spans="1:20" ht="25.5">
      <c r="A37" s="1" t="str">
        <f t="shared" si="0"/>
        <v>Howden-WRV 204/1.45 1117,34693877551 m3/h</v>
      </c>
      <c r="C37" s="39" t="s">
        <v>86</v>
      </c>
      <c r="D37" s="1" t="s">
        <v>5</v>
      </c>
      <c r="E37" s="14">
        <f t="shared" si="14"/>
        <v>778.21384178855828</v>
      </c>
      <c r="F37" s="15">
        <v>1095</v>
      </c>
      <c r="G37" s="15">
        <f t="shared" si="15"/>
        <v>1322.1938775510203</v>
      </c>
      <c r="I37" s="73">
        <f t="shared" si="4"/>
        <v>0.85</v>
      </c>
      <c r="J37" s="73">
        <f t="shared" si="5"/>
        <v>0.75</v>
      </c>
      <c r="K37" s="15">
        <f t="shared" si="16"/>
        <v>1117.3469387755101</v>
      </c>
      <c r="L37" s="18">
        <f t="shared" si="17"/>
        <v>48.567311281064605</v>
      </c>
      <c r="M37" s="23">
        <f>L37*8.314*$L$7/4*LN($L$9/$L$6)/$L$12/1000</f>
        <v>86.057317809689579</v>
      </c>
      <c r="O37" s="18">
        <f t="shared" si="18"/>
        <v>190.92945740190316</v>
      </c>
      <c r="P37" s="23">
        <f>O37*8.314*$O$7/4*LN($O$9/$O$6)/$O$12/1000</f>
        <v>328.61809556597512</v>
      </c>
    </row>
    <row r="38" spans="1:20" ht="25.5">
      <c r="A38" s="1" t="str">
        <f t="shared" si="0"/>
        <v>Howden-WRV 204/1.65 1244,89795918367 m3/h</v>
      </c>
      <c r="C38" s="39" t="s">
        <v>86</v>
      </c>
      <c r="D38" s="1" t="s">
        <v>6</v>
      </c>
      <c r="E38" s="14">
        <f t="shared" si="14"/>
        <v>867.05103833976375</v>
      </c>
      <c r="F38" s="15">
        <v>1220</v>
      </c>
      <c r="G38" s="15">
        <f t="shared" si="15"/>
        <v>1473.1292517006802</v>
      </c>
      <c r="I38" s="73">
        <f t="shared" si="4"/>
        <v>0.85</v>
      </c>
      <c r="J38" s="73">
        <f t="shared" si="5"/>
        <v>0.75</v>
      </c>
      <c r="K38" s="15">
        <f t="shared" si="16"/>
        <v>1244.8979591836735</v>
      </c>
      <c r="L38" s="18">
        <f t="shared" si="17"/>
        <v>54.111524897624498</v>
      </c>
      <c r="M38" s="23">
        <f>L38*8.314*$L$7/4*LN($L$9/$L$6)/$L$12/1000</f>
        <v>95.881212536823071</v>
      </c>
      <c r="O38" s="18">
        <f t="shared" si="18"/>
        <v>212.72505756193777</v>
      </c>
      <c r="P38" s="23">
        <f>O38*8.314*$O$7/4*LN($O$9/$O$6)/$O$12/1000</f>
        <v>366.13157679496777</v>
      </c>
    </row>
    <row r="39" spans="1:20" ht="25.5">
      <c r="A39" s="1" t="str">
        <f t="shared" si="0"/>
        <v>Howden-WRV 204/1.93 1367,34693877551 m3/h</v>
      </c>
      <c r="C39" s="39" t="s">
        <v>86</v>
      </c>
      <c r="D39" s="1" t="s">
        <v>7</v>
      </c>
      <c r="E39" s="14">
        <f t="shared" si="14"/>
        <v>952.33474702892067</v>
      </c>
      <c r="F39" s="15">
        <v>1340</v>
      </c>
      <c r="G39" s="15">
        <f t="shared" si="15"/>
        <v>1618.0272108843535</v>
      </c>
      <c r="I39" s="73">
        <f t="shared" si="4"/>
        <v>0.85</v>
      </c>
      <c r="J39" s="73">
        <f t="shared" si="5"/>
        <v>0.75</v>
      </c>
      <c r="K39" s="15">
        <f t="shared" si="16"/>
        <v>1367.3469387755101</v>
      </c>
      <c r="L39" s="18">
        <f t="shared" si="17"/>
        <v>59.433969969521989</v>
      </c>
      <c r="M39" s="23">
        <f>L39*8.314*$L$7/4*LN($L$9/$L$6)/$L$12/1000</f>
        <v>105.31215147487126</v>
      </c>
      <c r="O39" s="18">
        <f t="shared" si="18"/>
        <v>233.64883371557099</v>
      </c>
      <c r="P39" s="23">
        <f>O39*8.314*$O$7/4*LN($O$9/$O$6)/$O$12/1000</f>
        <v>402.14451877480064</v>
      </c>
    </row>
    <row r="40" spans="1:20" ht="25.5">
      <c r="A40" s="1" t="str">
        <f t="shared" si="0"/>
        <v>Howden-WRVi 255/1.10 1622,44897959184 m3/h</v>
      </c>
      <c r="C40" s="39" t="s">
        <v>86</v>
      </c>
      <c r="D40" s="1" t="s">
        <v>8</v>
      </c>
      <c r="E40" s="14">
        <f t="shared" si="14"/>
        <v>1130.0091401313314</v>
      </c>
      <c r="F40" s="15">
        <v>1590</v>
      </c>
      <c r="G40" s="15">
        <f t="shared" si="15"/>
        <v>1919.8979591836733</v>
      </c>
      <c r="I40" s="73">
        <f t="shared" si="4"/>
        <v>0.85</v>
      </c>
      <c r="J40" s="73">
        <f t="shared" si="5"/>
        <v>0.75</v>
      </c>
      <c r="K40" s="15">
        <f t="shared" si="16"/>
        <v>1622.4489795918366</v>
      </c>
      <c r="L40" s="18">
        <f t="shared" si="17"/>
        <v>70.522397202641756</v>
      </c>
      <c r="M40" s="23">
        <f>L40*8.314*$L$7/4*LN($L$9/$L$6)/$L$12/1000</f>
        <v>124.95994092913827</v>
      </c>
      <c r="O40" s="18">
        <f t="shared" si="18"/>
        <v>277.24003403564024</v>
      </c>
      <c r="P40" s="23">
        <f>O40*8.314*$O$7/4*LN($O$9/$O$6)/$O$12/1000</f>
        <v>477.17148123278588</v>
      </c>
    </row>
    <row r="41" spans="1:20" ht="25.5">
      <c r="A41" s="1" t="str">
        <f t="shared" si="0"/>
        <v>Howden-WRVi 255/1.30 1790,81632653061 m3/h</v>
      </c>
      <c r="C41" s="39" t="s">
        <v>86</v>
      </c>
      <c r="D41" s="1" t="s">
        <v>9</v>
      </c>
      <c r="E41" s="14">
        <f t="shared" si="14"/>
        <v>1247.2742395789226</v>
      </c>
      <c r="F41" s="15">
        <v>1755</v>
      </c>
      <c r="G41" s="15">
        <f t="shared" si="15"/>
        <v>2119.1326530612241</v>
      </c>
      <c r="I41" s="73">
        <f t="shared" si="4"/>
        <v>0.85</v>
      </c>
      <c r="J41" s="73">
        <f t="shared" si="5"/>
        <v>0.75</v>
      </c>
      <c r="K41" s="15">
        <f t="shared" si="16"/>
        <v>1790.8163265306123</v>
      </c>
      <c r="L41" s="18">
        <f t="shared" si="17"/>
        <v>77.840759176500811</v>
      </c>
      <c r="M41" s="23">
        <f>L41*8.314*$L$7/4*LN($L$9/$L$6)/$L$12/1000</f>
        <v>137.92748196895454</v>
      </c>
      <c r="O41" s="18">
        <f t="shared" si="18"/>
        <v>306.01022624688591</v>
      </c>
      <c r="P41" s="23">
        <f>O41*8.314*$O$7/4*LN($O$9/$O$6)/$O$12/1000</f>
        <v>526.68927645505607</v>
      </c>
    </row>
    <row r="42" spans="1:20" ht="25.5">
      <c r="A42" s="1" t="str">
        <f t="shared" si="0"/>
        <v>Howden-WRVi 255/1.45 2193,87755102041 m3/h</v>
      </c>
      <c r="C42" s="39" t="s">
        <v>86</v>
      </c>
      <c r="D42" s="1" t="s">
        <v>10</v>
      </c>
      <c r="E42" s="14">
        <f t="shared" si="14"/>
        <v>1527.9997806807312</v>
      </c>
      <c r="F42" s="15">
        <v>2150</v>
      </c>
      <c r="G42" s="15">
        <f t="shared" si="15"/>
        <v>2596.0884353741494</v>
      </c>
      <c r="I42" s="73">
        <f t="shared" si="4"/>
        <v>0.85</v>
      </c>
      <c r="J42" s="73">
        <f t="shared" si="5"/>
        <v>0.75</v>
      </c>
      <c r="K42" s="15">
        <f t="shared" si="16"/>
        <v>2193.8775510204082</v>
      </c>
      <c r="L42" s="18">
        <f t="shared" si="17"/>
        <v>95.360474204830069</v>
      </c>
      <c r="M42" s="23">
        <f>L42*8.314*$L$7/4*LN($L$9/$L$6)/$L$12/1000</f>
        <v>168.97098930669645</v>
      </c>
      <c r="O42" s="18">
        <f t="shared" si="18"/>
        <v>374.88432275259527</v>
      </c>
      <c r="P42" s="23">
        <f>O42*8.314*$O$7/4*LN($O$9/$O$6)/$O$12/1000</f>
        <v>645.23187713867264</v>
      </c>
    </row>
    <row r="43" spans="1:20" ht="25.5">
      <c r="A43" s="1" t="str">
        <f t="shared" si="0"/>
        <v>Howden-WRVi 255/1.65 2443,87755102041 m3/h</v>
      </c>
      <c r="C43" s="39" t="s">
        <v>86</v>
      </c>
      <c r="D43" s="1" t="s">
        <v>11</v>
      </c>
      <c r="E43" s="14">
        <f t="shared" si="14"/>
        <v>1702.1206859210934</v>
      </c>
      <c r="F43" s="15">
        <v>2395</v>
      </c>
      <c r="G43" s="15">
        <f t="shared" si="15"/>
        <v>2891.9217687074829</v>
      </c>
      <c r="I43" s="73">
        <f t="shared" si="4"/>
        <v>0.85</v>
      </c>
      <c r="J43" s="73">
        <f t="shared" si="5"/>
        <v>0.75</v>
      </c>
      <c r="K43" s="15">
        <f t="shared" si="16"/>
        <v>2443.8775510204082</v>
      </c>
      <c r="L43" s="18">
        <f t="shared" si="17"/>
        <v>106.22713289328742</v>
      </c>
      <c r="M43" s="23">
        <f>L43*8.314*$L$7/4*LN($L$9/$L$6)/$L$12/1000</f>
        <v>188.22582297187807</v>
      </c>
      <c r="O43" s="18">
        <f t="shared" si="18"/>
        <v>417.60369906626306</v>
      </c>
      <c r="P43" s="23">
        <f>O43*8.314*$O$7/4*LN($O$9/$O$6)/$O$12/1000</f>
        <v>718.75830034749799</v>
      </c>
    </row>
    <row r="44" spans="1:20" ht="25.5">
      <c r="A44" s="1" t="str">
        <f t="shared" si="0"/>
        <v>Howden-WRVi 255/1.93 2683,67346938776 m3/h</v>
      </c>
      <c r="C44" s="39" t="s">
        <v>86</v>
      </c>
      <c r="D44" s="1" t="s">
        <v>12</v>
      </c>
      <c r="E44" s="14">
        <f t="shared" si="14"/>
        <v>1869.1346154373591</v>
      </c>
      <c r="F44" s="15">
        <v>2630</v>
      </c>
      <c r="G44" s="15">
        <f t="shared" si="15"/>
        <v>3175.6802721088434</v>
      </c>
      <c r="I44" s="73">
        <f t="shared" si="4"/>
        <v>0.85</v>
      </c>
      <c r="J44" s="73">
        <f t="shared" si="5"/>
        <v>0.75</v>
      </c>
      <c r="K44" s="15">
        <f t="shared" si="16"/>
        <v>2683.6734693877552</v>
      </c>
      <c r="L44" s="18">
        <f t="shared" si="17"/>
        <v>116.65025449242003</v>
      </c>
      <c r="M44" s="23">
        <f>L44*8.314*$L$7/4*LN($L$9/$L$6)/$L$12/1000</f>
        <v>206.69474505888911</v>
      </c>
      <c r="O44" s="18">
        <f t="shared" si="18"/>
        <v>458.57942736712823</v>
      </c>
      <c r="P44" s="23">
        <f>O44*8.314*$O$7/4*LN($O$9/$O$6)/$O$12/1000</f>
        <v>789.28364505800437</v>
      </c>
    </row>
    <row r="45" spans="1:20" ht="25.5">
      <c r="A45" s="1" t="str">
        <f t="shared" si="0"/>
        <v>Howden-WRV 255/2.20 3255,10204081633 m3/h</v>
      </c>
      <c r="C45" s="39" t="s">
        <v>86</v>
      </c>
      <c r="D45" s="1" t="s">
        <v>13</v>
      </c>
      <c r="E45" s="14">
        <f t="shared" si="14"/>
        <v>2267.1252559867589</v>
      </c>
      <c r="F45" s="15">
        <v>3190</v>
      </c>
      <c r="G45" s="15">
        <f t="shared" si="15"/>
        <v>3851.8707482993195</v>
      </c>
      <c r="I45" s="73">
        <f t="shared" si="4"/>
        <v>0.85</v>
      </c>
      <c r="J45" s="73">
        <f t="shared" si="5"/>
        <v>0.75</v>
      </c>
      <c r="K45" s="15">
        <f t="shared" si="16"/>
        <v>3255.1020408163267</v>
      </c>
      <c r="L45" s="18">
        <f t="shared" si="17"/>
        <v>141.4883314946083</v>
      </c>
      <c r="M45" s="23">
        <f>L45*8.314*$L$7/4*LN($L$9/$L$6)/$L$12/1000</f>
        <v>250.70579343644727</v>
      </c>
      <c r="O45" s="18">
        <f t="shared" si="18"/>
        <v>556.22371608408321</v>
      </c>
      <c r="P45" s="23">
        <f>O45*8.314*$O$7/4*LN($O$9/$O$6)/$O$12/1000</f>
        <v>957.34404096389108</v>
      </c>
    </row>
    <row r="46" spans="1:20" ht="25.5" collapsed="1">
      <c r="A46" s="1" t="str">
        <f t="shared" si="0"/>
        <v>Howden-WRVi 321/1.32 3908,16326530612 m3/h</v>
      </c>
      <c r="C46" s="39" t="s">
        <v>86</v>
      </c>
      <c r="D46" s="1" t="s">
        <v>14</v>
      </c>
      <c r="E46" s="14">
        <f t="shared" si="14"/>
        <v>2721.97170232893</v>
      </c>
      <c r="F46" s="15">
        <v>3830</v>
      </c>
      <c r="G46" s="15">
        <f t="shared" si="15"/>
        <v>4624.6598639455779</v>
      </c>
      <c r="I46" s="73">
        <f t="shared" si="4"/>
        <v>0.85</v>
      </c>
      <c r="J46" s="73">
        <f t="shared" si="5"/>
        <v>0.75</v>
      </c>
      <c r="K46" s="15">
        <f t="shared" si="16"/>
        <v>3908.1632653061224</v>
      </c>
      <c r="L46" s="18">
        <f t="shared" si="17"/>
        <v>169.87470521139491</v>
      </c>
      <c r="M46" s="23">
        <f>L46*8.314*$L$7/4*LN($L$9/$L$6)/$L$12/1000</f>
        <v>301.00413443937077</v>
      </c>
      <c r="O46" s="18">
        <f t="shared" si="18"/>
        <v>667.81718890346042</v>
      </c>
      <c r="P46" s="23">
        <f>O46*8.314*$O$7/4*LN($O$9/$O$6)/$O$12/1000</f>
        <v>1149.413064856333</v>
      </c>
      <c r="R46" s="52">
        <f>19*M47</f>
        <v>7152.5812729313666</v>
      </c>
      <c r="S46" s="1">
        <f>+P47*4</f>
        <v>5750.0664027799839</v>
      </c>
      <c r="T46" s="1">
        <f>R46+S46</f>
        <v>12902.647675711351</v>
      </c>
    </row>
    <row r="47" spans="1:20" ht="25.5">
      <c r="A47" s="1" t="str">
        <f t="shared" si="0"/>
        <v>Howden-WRVi 321/1.65 4887,75510204082 m3/h</v>
      </c>
      <c r="C47" s="39" t="s">
        <v>86</v>
      </c>
      <c r="D47" s="1" t="s">
        <v>15</v>
      </c>
      <c r="E47" s="14">
        <f t="shared" si="14"/>
        <v>3404.2413718421867</v>
      </c>
      <c r="F47" s="15">
        <v>4790</v>
      </c>
      <c r="G47" s="15">
        <f t="shared" si="15"/>
        <v>5783.8435374149658</v>
      </c>
      <c r="I47" s="73">
        <f t="shared" si="4"/>
        <v>0.85</v>
      </c>
      <c r="J47" s="73">
        <f t="shared" si="5"/>
        <v>0.75</v>
      </c>
      <c r="K47" s="15">
        <f t="shared" si="16"/>
        <v>4887.7551020408164</v>
      </c>
      <c r="L47" s="18">
        <f t="shared" si="17"/>
        <v>212.45426578657484</v>
      </c>
      <c r="M47" s="23">
        <f>L47*8.314*$L$7/4*LN($L$9/$L$6)/$L$12/1000</f>
        <v>376.45164594375615</v>
      </c>
      <c r="O47" s="18">
        <f t="shared" si="18"/>
        <v>835.20739813252612</v>
      </c>
      <c r="P47" s="23">
        <f>O47*8.314*$O$7/4*LN($O$9/$O$6)/$O$12/1000</f>
        <v>1437.516600694996</v>
      </c>
      <c r="R47" s="1">
        <f>19*L47</f>
        <v>4036.6310499449219</v>
      </c>
      <c r="S47" s="1">
        <f>4*O47</f>
        <v>3340.8295925301045</v>
      </c>
    </row>
    <row r="48" spans="1:20" ht="25.5">
      <c r="A48" s="1" t="str">
        <f t="shared" si="0"/>
        <v>Howden-WRVi 321/1.93 5367,34693877551 m3/h</v>
      </c>
      <c r="C48" s="39" t="s">
        <v>86</v>
      </c>
      <c r="D48" s="1" t="s">
        <v>16</v>
      </c>
      <c r="E48" s="14">
        <f t="shared" si="14"/>
        <v>3738.2692308747182</v>
      </c>
      <c r="F48" s="15">
        <v>5260</v>
      </c>
      <c r="G48" s="15">
        <f t="shared" si="15"/>
        <v>6351.3605442176868</v>
      </c>
      <c r="I48" s="73">
        <f t="shared" si="4"/>
        <v>0.85</v>
      </c>
      <c r="J48" s="73">
        <f t="shared" si="5"/>
        <v>0.75</v>
      </c>
      <c r="K48" s="15">
        <f t="shared" si="16"/>
        <v>5367.3469387755104</v>
      </c>
      <c r="L48" s="18">
        <f t="shared" si="17"/>
        <v>233.30050898484006</v>
      </c>
      <c r="M48" s="23">
        <f>L48*8.314*$L$7/4*LN($L$9/$L$6)/$L$12/1000</f>
        <v>413.38949011777822</v>
      </c>
      <c r="O48" s="18">
        <f t="shared" si="18"/>
        <v>917.15885473425647</v>
      </c>
      <c r="P48" s="23">
        <f>O48*8.314*$O$7/4*LN($O$9/$O$6)/$O$12/1000</f>
        <v>1578.5672901160087</v>
      </c>
    </row>
    <row r="49" spans="1:17" ht="25.5">
      <c r="A49" s="1" t="str">
        <f t="shared" si="0"/>
        <v>Howden-WRV 321/2.20 6515,30612244898 m3/h</v>
      </c>
      <c r="C49" s="39" t="s">
        <v>86</v>
      </c>
      <c r="D49" s="1" t="s">
        <v>17</v>
      </c>
      <c r="E49" s="14">
        <f t="shared" si="14"/>
        <v>4537.8039998355662</v>
      </c>
      <c r="F49" s="15">
        <v>6385</v>
      </c>
      <c r="G49" s="15">
        <f t="shared" si="15"/>
        <v>7709.7789115646256</v>
      </c>
      <c r="I49" s="73">
        <f t="shared" si="4"/>
        <v>0.85</v>
      </c>
      <c r="J49" s="73">
        <f t="shared" si="5"/>
        <v>0.75</v>
      </c>
      <c r="K49" s="15">
        <f t="shared" si="16"/>
        <v>6515.3061224489793</v>
      </c>
      <c r="L49" s="18">
        <f t="shared" si="17"/>
        <v>283.19843153387899</v>
      </c>
      <c r="M49" s="23">
        <f>L49*8.314*$L$7/4*LN($L$9/$L$6)/$L$12/1000</f>
        <v>501.80454266197967</v>
      </c>
      <c r="O49" s="18">
        <f t="shared" si="18"/>
        <v>1113.319256174568</v>
      </c>
      <c r="P49" s="23">
        <f>O49*8.314*$O$7/4*LN($O$9/$O$6)/$O$12/1000</f>
        <v>1916.188621176942</v>
      </c>
    </row>
    <row r="50" spans="1:17" ht="25.5">
      <c r="A50" s="1" t="str">
        <f t="shared" si="0"/>
        <v>Howden-WRVi 365/165 6909,18367346939 m3/h</v>
      </c>
      <c r="C50" s="39" t="s">
        <v>86</v>
      </c>
      <c r="D50" s="1" t="s">
        <v>18</v>
      </c>
      <c r="E50" s="14">
        <f t="shared" si="14"/>
        <v>4812.1332627856882</v>
      </c>
      <c r="F50" s="15">
        <v>6771</v>
      </c>
      <c r="G50" s="15">
        <f t="shared" si="15"/>
        <v>8175.867346938775</v>
      </c>
      <c r="I50" s="73">
        <f t="shared" si="4"/>
        <v>0.85</v>
      </c>
      <c r="J50" s="73">
        <f t="shared" si="5"/>
        <v>0.75</v>
      </c>
      <c r="K50" s="15">
        <f t="shared" si="16"/>
        <v>6909.1836734693879</v>
      </c>
      <c r="L50" s="18">
        <f t="shared" si="17"/>
        <v>300.318963181816</v>
      </c>
      <c r="M50" s="23">
        <f>L50*8.314*$L$7/4*LN($L$9/$L$6)/$L$12/1000</f>
        <v>532.14072957936821</v>
      </c>
      <c r="O50" s="18">
        <f t="shared" si="18"/>
        <v>1180.6240694687547</v>
      </c>
      <c r="P50" s="23">
        <f>O50*8.314*$O$7/4*LN($O$9/$O$6)/$O$12/1000</f>
        <v>2032.0302512120709</v>
      </c>
    </row>
    <row r="51" spans="1:17" ht="25.5">
      <c r="A51" s="1" t="str">
        <f t="shared" si="0"/>
        <v>Howden-WRVi 365/193 8081,63265306122 m3/h</v>
      </c>
      <c r="C51" s="39" t="s">
        <v>86</v>
      </c>
      <c r="D51" s="1" t="s">
        <v>19</v>
      </c>
      <c r="E51" s="14">
        <f t="shared" si="14"/>
        <v>5628.7247734843677</v>
      </c>
      <c r="F51" s="15">
        <v>7920</v>
      </c>
      <c r="G51" s="15">
        <f t="shared" si="15"/>
        <v>9563.2653061224482</v>
      </c>
      <c r="I51" s="73">
        <f t="shared" si="4"/>
        <v>0.85</v>
      </c>
      <c r="J51" s="73">
        <f t="shared" si="5"/>
        <v>0.75</v>
      </c>
      <c r="K51" s="15">
        <f t="shared" si="16"/>
        <v>8081.6326530612241</v>
      </c>
      <c r="L51" s="18">
        <f t="shared" si="17"/>
        <v>351.28137474523442</v>
      </c>
      <c r="M51" s="23">
        <f>L51*8.314*$L$7/4*LN($L$9/$L$6)/$L$12/1000</f>
        <v>622.44196991117929</v>
      </c>
      <c r="O51" s="18">
        <f t="shared" si="18"/>
        <v>1380.9692261397929</v>
      </c>
      <c r="P51" s="23">
        <f>O51*8.314*$O$7/4*LN($O$9/$O$6)/$O$12/1000</f>
        <v>2376.8541706689707</v>
      </c>
    </row>
    <row r="52" spans="1:17" ht="25.5">
      <c r="A52" s="1" t="str">
        <f t="shared" si="0"/>
        <v>Howden-WRV 510/1.32** 7816,32653061224 m3/h</v>
      </c>
      <c r="C52" s="39" t="s">
        <v>86</v>
      </c>
      <c r="D52" s="26" t="s">
        <v>89</v>
      </c>
      <c r="E52" s="14">
        <f t="shared" si="14"/>
        <v>5443.9434046578599</v>
      </c>
      <c r="F52" s="15">
        <v>7660</v>
      </c>
      <c r="G52" s="15">
        <f t="shared" si="15"/>
        <v>9249.3197278911557</v>
      </c>
      <c r="I52" s="73">
        <f t="shared" si="4"/>
        <v>0.85</v>
      </c>
      <c r="J52" s="73">
        <f t="shared" si="5"/>
        <v>0.75</v>
      </c>
      <c r="K52" s="15">
        <f t="shared" si="16"/>
        <v>7816.3265306122448</v>
      </c>
      <c r="L52" s="18">
        <f t="shared" si="17"/>
        <v>339.74941042278982</v>
      </c>
      <c r="M52" s="23">
        <f>L52*8.314*$L$7/4*LN($L$9/$L$6)/$L$12/1000</f>
        <v>602.00826887874155</v>
      </c>
      <c r="O52" s="18">
        <f t="shared" si="18"/>
        <v>1335.6343778069208</v>
      </c>
      <c r="P52" s="23">
        <f>O52*8.314*$O$7/4*LN($O$9/$O$6)/$O$12/1000</f>
        <v>2298.826129712666</v>
      </c>
      <c r="Q52" s="25" t="s">
        <v>24</v>
      </c>
    </row>
    <row r="53" spans="1:17" ht="25.5">
      <c r="A53" s="1" t="str">
        <f t="shared" si="0"/>
        <v>Howden-WRV 510/1.65** 9770,40816326531 m3/h</v>
      </c>
      <c r="C53" s="39" t="s">
        <v>86</v>
      </c>
      <c r="D53" s="26" t="s">
        <v>87</v>
      </c>
      <c r="E53" s="14">
        <f t="shared" si="14"/>
        <v>6804.929255822326</v>
      </c>
      <c r="F53" s="15">
        <v>9575</v>
      </c>
      <c r="G53" s="15">
        <f t="shared" si="15"/>
        <v>11561.649659863944</v>
      </c>
      <c r="I53" s="73">
        <f t="shared" si="4"/>
        <v>0.85</v>
      </c>
      <c r="J53" s="73">
        <f t="shared" si="5"/>
        <v>0.75</v>
      </c>
      <c r="K53" s="15">
        <f t="shared" si="16"/>
        <v>9770.4081632653069</v>
      </c>
      <c r="L53" s="18">
        <f t="shared" si="17"/>
        <v>424.68676302848735</v>
      </c>
      <c r="M53" s="23">
        <f>L53*8.314*$L$7/4*LN($L$9/$L$6)/$L$12/1000</f>
        <v>752.51033609842705</v>
      </c>
      <c r="O53" s="18">
        <f t="shared" si="18"/>
        <v>1669.5429722586512</v>
      </c>
      <c r="P53" s="23">
        <f>O53*8.314*$O$7/4*LN($O$9/$O$6)/$O$12/1000</f>
        <v>2873.5326621408331</v>
      </c>
      <c r="Q53" s="25" t="s">
        <v>24</v>
      </c>
    </row>
    <row r="54" spans="1:17" ht="25.5">
      <c r="A54" s="1" t="str">
        <f t="shared" si="0"/>
        <v>Howden-WRV 510/1.93** 10724,4897959184 m3/h</v>
      </c>
      <c r="C54" s="39" t="s">
        <v>86</v>
      </c>
      <c r="D54" s="26" t="s">
        <v>88</v>
      </c>
      <c r="E54" s="14">
        <f t="shared" si="14"/>
        <v>7469.4314860253407</v>
      </c>
      <c r="F54" s="15">
        <v>10510</v>
      </c>
      <c r="G54" s="15">
        <f t="shared" si="15"/>
        <v>12690.646258503401</v>
      </c>
      <c r="I54" s="73">
        <f t="shared" si="4"/>
        <v>0.85</v>
      </c>
      <c r="J54" s="73">
        <f t="shared" si="5"/>
        <v>0.75</v>
      </c>
      <c r="K54" s="15">
        <f t="shared" si="16"/>
        <v>10724.489795918367</v>
      </c>
      <c r="L54" s="18">
        <f t="shared" si="17"/>
        <v>466.15748088035525</v>
      </c>
      <c r="M54" s="23">
        <f>L54*8.314*$L$7/4*LN($L$9/$L$6)/$L$12/1000</f>
        <v>825.99306865738572</v>
      </c>
      <c r="O54" s="18">
        <f t="shared" si="18"/>
        <v>1832.5740614557099</v>
      </c>
      <c r="P54" s="23">
        <f>O54*8.314*$O$7/4*LN($O$9/$O$6)/$O$12/1000</f>
        <v>3154.1335017336969</v>
      </c>
      <c r="Q54" s="25" t="s">
        <v>24</v>
      </c>
    </row>
    <row r="55" spans="1:17" ht="25.5">
      <c r="A55" s="1" t="str">
        <f t="shared" si="0"/>
        <v>Howden-XRV 127-R1 298,979591836735 m3/h</v>
      </c>
      <c r="C55" s="39" t="s">
        <v>86</v>
      </c>
      <c r="D55" s="1" t="s">
        <v>26</v>
      </c>
      <c r="E55" s="14">
        <f t="shared" ref="E55:E103" si="19">F55/1.699011*$E$16/$F$16</f>
        <v>208.23438871602522</v>
      </c>
      <c r="F55" s="15">
        <v>293</v>
      </c>
      <c r="G55" s="15">
        <f t="shared" si="15"/>
        <v>353.79251700680271</v>
      </c>
      <c r="I55" s="73">
        <f t="shared" si="4"/>
        <v>0.85</v>
      </c>
      <c r="J55" s="73">
        <f t="shared" si="5"/>
        <v>0.75</v>
      </c>
      <c r="K55" s="15">
        <f t="shared" ref="K55" si="20">F55*$K$16/$F$16</f>
        <v>298.9795918367347</v>
      </c>
      <c r="L55" s="18">
        <f t="shared" ref="L55:L103" si="21">K55*$L$8*1000/3600</f>
        <v>12.995636717216374</v>
      </c>
      <c r="M55" s="23">
        <f>L55*8.314*$L$7/4*LN($L$9/$L$6)/$L$12/1000</f>
        <v>23.027209240400953</v>
      </c>
      <c r="O55" s="18">
        <f t="shared" ref="O55" si="22">K55*$O$8*1000/3600</f>
        <v>51.088886775121125</v>
      </c>
      <c r="P55" s="23">
        <f>O55*8.314*$O$7/4*LN($O$9/$O$6)/$O$12/1000</f>
        <v>87.931600000758635</v>
      </c>
    </row>
    <row r="56" spans="1:17" ht="25.5">
      <c r="A56" s="1" t="str">
        <f t="shared" si="0"/>
        <v>Howden-XRV 127-R3 405,102040816327 m3/h</v>
      </c>
      <c r="C56" s="39" t="s">
        <v>86</v>
      </c>
      <c r="D56" s="1" t="s">
        <v>27</v>
      </c>
      <c r="E56" s="14">
        <f t="shared" si="19"/>
        <v>282.146936246628</v>
      </c>
      <c r="F56" s="15">
        <v>397</v>
      </c>
      <c r="G56" s="15">
        <f t="shared" si="15"/>
        <v>479.3707482993197</v>
      </c>
      <c r="I56" s="73">
        <f t="shared" si="4"/>
        <v>0.85</v>
      </c>
      <c r="J56" s="73">
        <f t="shared" si="5"/>
        <v>0.75</v>
      </c>
      <c r="K56" s="15">
        <f t="shared" ref="K56:K58" si="23">F56*$K$16/$F$16</f>
        <v>405.10204081632651</v>
      </c>
      <c r="L56" s="18">
        <f t="shared" si="21"/>
        <v>17.608422446194201</v>
      </c>
      <c r="M56" s="23">
        <f>L56*8.314*$L$7/4*LN($L$9/$L$6)/$L$12/1000</f>
        <v>31.200689653376038</v>
      </c>
      <c r="O56" s="18">
        <f t="shared" ref="O56:O58" si="24">K56*$O$8*1000/3600</f>
        <v>69.222826108269913</v>
      </c>
      <c r="P56" s="23">
        <f>O56*8.314*$O$7/4*LN($O$9/$O$6)/$O$12/1000</f>
        <v>119.14281638328049</v>
      </c>
    </row>
    <row r="57" spans="1:17" ht="25.5">
      <c r="A57" s="1" t="str">
        <f t="shared" si="0"/>
        <v>Howden-XRV 127-R4 498,979591836735 m3/h</v>
      </c>
      <c r="C57" s="39" t="s">
        <v>86</v>
      </c>
      <c r="D57" s="1" t="s">
        <v>28</v>
      </c>
      <c r="E57" s="14">
        <f t="shared" si="19"/>
        <v>347.53111290831515</v>
      </c>
      <c r="F57" s="15">
        <v>489</v>
      </c>
      <c r="G57" s="15">
        <f t="shared" si="15"/>
        <v>590.45918367346928</v>
      </c>
      <c r="I57" s="73">
        <f t="shared" si="4"/>
        <v>0.85</v>
      </c>
      <c r="J57" s="73">
        <f t="shared" si="5"/>
        <v>0.75</v>
      </c>
      <c r="K57" s="15">
        <f t="shared" si="23"/>
        <v>498.9795918367347</v>
      </c>
      <c r="L57" s="18">
        <f t="shared" si="21"/>
        <v>21.688963667982275</v>
      </c>
      <c r="M57" s="23">
        <f>L57*8.314*$L$7/4*LN($L$9/$L$6)/$L$12/1000</f>
        <v>38.431076172546298</v>
      </c>
      <c r="O57" s="18">
        <f t="shared" si="24"/>
        <v>85.264387826055383</v>
      </c>
      <c r="P57" s="23">
        <f>O57*8.314*$O$7/4*LN($O$9/$O$6)/$O$12/1000</f>
        <v>146.75273856781899</v>
      </c>
    </row>
    <row r="58" spans="1:17" ht="25.5">
      <c r="A58" s="1" t="str">
        <f t="shared" si="0"/>
        <v>Howden-XRV 127-R5 587,755102040816 m3/h</v>
      </c>
      <c r="C58" s="39" t="s">
        <v>86</v>
      </c>
      <c r="D58" s="1" t="s">
        <v>29</v>
      </c>
      <c r="E58" s="14">
        <f t="shared" si="19"/>
        <v>409.36180170795399</v>
      </c>
      <c r="F58" s="15">
        <v>576</v>
      </c>
      <c r="G58" s="15">
        <f t="shared" si="15"/>
        <v>695.51020408163254</v>
      </c>
      <c r="I58" s="73">
        <f t="shared" si="4"/>
        <v>0.85</v>
      </c>
      <c r="J58" s="73">
        <f t="shared" si="5"/>
        <v>0.75</v>
      </c>
      <c r="K58" s="15">
        <f t="shared" si="23"/>
        <v>587.75510204081638</v>
      </c>
      <c r="L58" s="18">
        <f t="shared" si="21"/>
        <v>25.547736345107964</v>
      </c>
      <c r="M58" s="23">
        <f>L58*8.314*$L$7/4*LN($L$9/$L$6)/$L$12/1000</f>
        <v>45.268506902631245</v>
      </c>
      <c r="O58" s="18">
        <f t="shared" si="24"/>
        <v>100.4341255374395</v>
      </c>
      <c r="P58" s="23">
        <f>O58*8.314*$O$7/4*LN($O$9/$O$6)/$O$12/1000</f>
        <v>172.8621215031979</v>
      </c>
    </row>
    <row r="59" spans="1:17" ht="25.5">
      <c r="A59" s="1" t="str">
        <f t="shared" si="0"/>
        <v>Howden-XRV 163/1.65 605,102040816327 m3/h</v>
      </c>
      <c r="C59" s="39" t="s">
        <v>86</v>
      </c>
      <c r="D59" s="1" t="s">
        <v>31</v>
      </c>
      <c r="E59" s="14">
        <f t="shared" si="19"/>
        <v>421.4436604389179</v>
      </c>
      <c r="F59" s="15">
        <v>593</v>
      </c>
      <c r="G59" s="15">
        <f t="shared" si="15"/>
        <v>716.03741496598639</v>
      </c>
      <c r="I59" s="73">
        <f t="shared" si="4"/>
        <v>0.85</v>
      </c>
      <c r="J59" s="73">
        <f t="shared" si="5"/>
        <v>0.75</v>
      </c>
      <c r="K59" s="15">
        <f t="shared" ref="K59:K64" si="25">F59*$K$16/$F$16</f>
        <v>605.10204081632651</v>
      </c>
      <c r="L59" s="18">
        <f t="shared" si="21"/>
        <v>26.301749396960105</v>
      </c>
      <c r="M59" s="23">
        <f>L59*8.314*$L$7/4*LN($L$9/$L$6)/$L$12/1000</f>
        <v>46.604556585521379</v>
      </c>
      <c r="O59" s="18">
        <f t="shared" ref="O59:O64" si="26">K59*$O$8*1000/3600</f>
        <v>103.39832715920419</v>
      </c>
      <c r="P59" s="23">
        <f>O59*8.314*$O$7/4*LN($O$9/$O$6)/$O$12/1000</f>
        <v>177.96395495034088</v>
      </c>
    </row>
    <row r="60" spans="1:17" ht="25.5">
      <c r="A60" s="1" t="str">
        <f t="shared" si="0"/>
        <v>Howden-XRV 163/1.93 724,489795918367 m3/h</v>
      </c>
      <c r="C60" s="39" t="s">
        <v>86</v>
      </c>
      <c r="D60" s="1" t="s">
        <v>32</v>
      </c>
      <c r="E60" s="14">
        <f t="shared" si="19"/>
        <v>504.59527641084611</v>
      </c>
      <c r="F60" s="15">
        <v>710</v>
      </c>
      <c r="G60" s="15">
        <f t="shared" si="15"/>
        <v>857.31292517006796</v>
      </c>
      <c r="I60" s="73">
        <f t="shared" si="4"/>
        <v>0.85</v>
      </c>
      <c r="J60" s="73">
        <f t="shared" si="5"/>
        <v>0.75</v>
      </c>
      <c r="K60" s="15">
        <f t="shared" si="25"/>
        <v>724.48979591836735</v>
      </c>
      <c r="L60" s="18">
        <f t="shared" si="21"/>
        <v>31.491133342060159</v>
      </c>
      <c r="M60" s="23">
        <f>L60*8.314*$L$7/4*LN($L$9/$L$6)/$L$12/1000</f>
        <v>55.799722050118355</v>
      </c>
      <c r="O60" s="18">
        <f t="shared" si="26"/>
        <v>123.79900890899657</v>
      </c>
      <c r="P60" s="23">
        <f>O60*8.314*$O$7/4*LN($O$9/$O$6)/$O$12/1000</f>
        <v>213.0765733806779</v>
      </c>
    </row>
    <row r="61" spans="1:17" ht="25.5">
      <c r="A61" s="1" t="str">
        <f t="shared" si="0"/>
        <v>Howden-XRV 204/1.10 828,571428571429 m3/h</v>
      </c>
      <c r="C61" s="39" t="s">
        <v>86</v>
      </c>
      <c r="D61" s="1" t="s">
        <v>33</v>
      </c>
      <c r="E61" s="14">
        <f t="shared" si="19"/>
        <v>577.08642879662955</v>
      </c>
      <c r="F61" s="15">
        <v>812</v>
      </c>
      <c r="G61" s="15">
        <f t="shared" si="15"/>
        <v>980.47619047619037</v>
      </c>
      <c r="I61" s="73">
        <f t="shared" si="4"/>
        <v>0.85</v>
      </c>
      <c r="J61" s="73">
        <f t="shared" si="5"/>
        <v>0.75</v>
      </c>
      <c r="K61" s="15">
        <f t="shared" si="25"/>
        <v>828.57142857142856</v>
      </c>
      <c r="L61" s="18">
        <f t="shared" si="21"/>
        <v>36.015211653173026</v>
      </c>
      <c r="M61" s="23">
        <f>L61*8.314*$L$7/4*LN($L$9/$L$6)/$L$12/1000</f>
        <v>63.816020147459298</v>
      </c>
      <c r="O61" s="18">
        <f t="shared" si="26"/>
        <v>141.58421863958483</v>
      </c>
      <c r="P61" s="23">
        <f>O61*8.314*$O$7/4*LN($O$9/$O$6)/$O$12/1000</f>
        <v>243.68757406353595</v>
      </c>
    </row>
    <row r="62" spans="1:17" ht="25.5">
      <c r="A62" s="1" t="str">
        <f t="shared" si="0"/>
        <v>Howden-XRV 204/1.45 1091,83673469388 m3/h</v>
      </c>
      <c r="C62" s="39" t="s">
        <v>86</v>
      </c>
      <c r="D62" s="1" t="s">
        <v>34</v>
      </c>
      <c r="E62" s="14">
        <f t="shared" si="19"/>
        <v>760.44640247831728</v>
      </c>
      <c r="F62" s="15">
        <v>1070</v>
      </c>
      <c r="G62" s="15">
        <f t="shared" si="15"/>
        <v>1292.0068027210884</v>
      </c>
      <c r="I62" s="73">
        <f t="shared" si="4"/>
        <v>0.85</v>
      </c>
      <c r="J62" s="73">
        <f t="shared" si="5"/>
        <v>0.75</v>
      </c>
      <c r="K62" s="15">
        <f t="shared" si="25"/>
        <v>1091.8367346938776</v>
      </c>
      <c r="L62" s="18">
        <f t="shared" si="21"/>
        <v>47.458468557752632</v>
      </c>
      <c r="M62" s="23">
        <f>L62*8.314*$L$7/4*LN($L$9/$L$6)/$L$12/1000</f>
        <v>84.092538864262849</v>
      </c>
      <c r="O62" s="18">
        <f t="shared" si="26"/>
        <v>186.57033736989627</v>
      </c>
      <c r="P62" s="23">
        <f>O62*8.314*$O$7/4*LN($O$9/$O$6)/$O$12/1000</f>
        <v>321.11539932017661</v>
      </c>
    </row>
    <row r="63" spans="1:17" ht="25.5">
      <c r="A63" s="1" t="str">
        <f t="shared" si="0"/>
        <v>Howden-XRV 204/1.65 1243,87755102041 m3/h</v>
      </c>
      <c r="C63" s="39" t="s">
        <v>86</v>
      </c>
      <c r="D63" s="1" t="s">
        <v>35</v>
      </c>
      <c r="E63" s="14">
        <f t="shared" si="19"/>
        <v>866.34034076735418</v>
      </c>
      <c r="F63" s="15">
        <v>1219</v>
      </c>
      <c r="G63" s="15">
        <f t="shared" si="15"/>
        <v>1471.9217687074829</v>
      </c>
      <c r="I63" s="73">
        <f t="shared" si="4"/>
        <v>0.85</v>
      </c>
      <c r="J63" s="73">
        <f t="shared" si="5"/>
        <v>0.75</v>
      </c>
      <c r="K63" s="15">
        <f t="shared" si="25"/>
        <v>1243.8775510204082</v>
      </c>
      <c r="L63" s="18">
        <f t="shared" si="21"/>
        <v>54.067171188692015</v>
      </c>
      <c r="M63" s="23">
        <f>L63*8.314*$L$7/4*LN($L$9/$L$6)/$L$12/1000</f>
        <v>95.802621379005998</v>
      </c>
      <c r="O63" s="18">
        <f t="shared" si="26"/>
        <v>212.55069276065751</v>
      </c>
      <c r="P63" s="23">
        <f>O63*8.314*$O$7/4*LN($O$9/$O$6)/$O$12/1000</f>
        <v>365.83146894513578</v>
      </c>
    </row>
    <row r="64" spans="1:17" ht="25.5">
      <c r="A64" s="1" t="str">
        <f t="shared" si="0"/>
        <v>Howden-XRV 204/1.93 1375,51020408163 m3/h</v>
      </c>
      <c r="C64" s="39" t="s">
        <v>86</v>
      </c>
      <c r="D64" s="1" t="s">
        <v>36</v>
      </c>
      <c r="E64" s="14">
        <f t="shared" si="19"/>
        <v>958.02032760819804</v>
      </c>
      <c r="F64" s="15">
        <v>1348</v>
      </c>
      <c r="G64" s="15">
        <f t="shared" si="15"/>
        <v>1627.6870748299318</v>
      </c>
      <c r="I64" s="73">
        <f t="shared" si="4"/>
        <v>0.85</v>
      </c>
      <c r="J64" s="73">
        <f t="shared" si="5"/>
        <v>0.75</v>
      </c>
      <c r="K64" s="15">
        <f t="shared" si="25"/>
        <v>1375.5102040816328</v>
      </c>
      <c r="L64" s="18">
        <f t="shared" si="21"/>
        <v>59.788799640981821</v>
      </c>
      <c r="M64" s="23">
        <f>L64*8.314*$L$7/4*LN($L$9/$L$6)/$L$12/1000</f>
        <v>105.94088073740781</v>
      </c>
      <c r="O64" s="18">
        <f t="shared" si="26"/>
        <v>235.04375212581323</v>
      </c>
      <c r="P64" s="23">
        <f>O64*8.314*$O$7/4*LN($O$9/$O$6)/$O$12/1000</f>
        <v>404.5453815734561</v>
      </c>
    </row>
    <row r="65" spans="2:17">
      <c r="B65" s="12">
        <v>2940</v>
      </c>
      <c r="C65" s="40" t="s">
        <v>92</v>
      </c>
      <c r="D65" s="1" t="s">
        <v>93</v>
      </c>
      <c r="E65" s="14">
        <f t="shared" si="19"/>
        <v>572.11154578976209</v>
      </c>
      <c r="F65" s="15">
        <v>805</v>
      </c>
      <c r="G65" s="15">
        <f>F65*$G$16/$F$16</f>
        <v>972.02380952380952</v>
      </c>
      <c r="I65" s="73">
        <f t="shared" si="4"/>
        <v>0.85</v>
      </c>
      <c r="J65" s="73">
        <f t="shared" si="5"/>
        <v>0.75</v>
      </c>
      <c r="K65" s="15">
        <f t="shared" ref="K65" si="27">F65*$K$16/$F$16</f>
        <v>821.42857142857144</v>
      </c>
      <c r="L65" s="18">
        <f t="shared" si="21"/>
        <v>35.70473569064567</v>
      </c>
      <c r="M65" s="23">
        <f>L65*8.314*$L$7/4*LN($L$9/$L$6)/$L$12/1000</f>
        <v>63.265882042739811</v>
      </c>
      <c r="O65" s="18">
        <f t="shared" ref="O65" si="28">K65*$O$8*1000/3600</f>
        <v>140.36366503062288</v>
      </c>
      <c r="P65" s="23">
        <f>O65*8.314*$O$7/4*LN($O$9/$O$6)/$O$12/1000</f>
        <v>241.58681911471234</v>
      </c>
      <c r="Q65" s="17" t="s">
        <v>91</v>
      </c>
    </row>
    <row r="66" spans="2:17">
      <c r="C66" s="40" t="s">
        <v>92</v>
      </c>
      <c r="D66" s="1" t="s">
        <v>94</v>
      </c>
      <c r="E66" s="14">
        <f t="shared" si="19"/>
        <v>739.12547530602808</v>
      </c>
      <c r="F66" s="15">
        <v>1040</v>
      </c>
      <c r="G66" s="15">
        <f t="shared" ref="G66:G103" si="29">F66*$G$16/$F$16</f>
        <v>1255.7823129251701</v>
      </c>
      <c r="I66" s="73">
        <f t="shared" si="4"/>
        <v>0.85</v>
      </c>
      <c r="J66" s="73">
        <f t="shared" si="5"/>
        <v>0.75</v>
      </c>
      <c r="K66" s="15">
        <f t="shared" ref="K66:K78" si="30">F66*$K$16/$F$16</f>
        <v>1061.2244897959183</v>
      </c>
      <c r="L66" s="18">
        <f t="shared" si="21"/>
        <v>46.127857289778255</v>
      </c>
      <c r="M66" s="23">
        <f>L66*8.314*$L$7/4*LN($L$9/$L$6)/$L$12/1000</f>
        <v>81.734804129750813</v>
      </c>
      <c r="O66" s="18">
        <f t="shared" ref="O66:O78" si="31">K66*$O$8*1000/3600</f>
        <v>181.33939333148794</v>
      </c>
      <c r="P66" s="23">
        <f>O66*8.314*$O$7/4*LN($O$9/$O$6)/$O$12/1000</f>
        <v>312.11216382521837</v>
      </c>
      <c r="Q66" s="17" t="s">
        <v>91</v>
      </c>
    </row>
    <row r="67" spans="2:17">
      <c r="C67" s="40" t="s">
        <v>92</v>
      </c>
      <c r="D67" s="1" t="s">
        <v>95</v>
      </c>
      <c r="E67" s="14">
        <f t="shared" si="19"/>
        <v>916.79986840843867</v>
      </c>
      <c r="F67" s="15">
        <v>1290</v>
      </c>
      <c r="G67" s="15">
        <f t="shared" si="29"/>
        <v>1557.6530612244899</v>
      </c>
      <c r="I67" s="73">
        <f t="shared" si="4"/>
        <v>0.85</v>
      </c>
      <c r="J67" s="73">
        <f t="shared" si="5"/>
        <v>0.75</v>
      </c>
      <c r="K67" s="15">
        <f t="shared" si="30"/>
        <v>1316.3265306122448</v>
      </c>
      <c r="L67" s="18">
        <f t="shared" si="21"/>
        <v>57.216284522898029</v>
      </c>
      <c r="M67" s="23">
        <f>L67*8.314*$L$7/4*LN($L$9/$L$6)/$L$12/1000</f>
        <v>101.38259358401784</v>
      </c>
      <c r="O67" s="18">
        <f t="shared" si="31"/>
        <v>224.93059365155716</v>
      </c>
      <c r="P67" s="23">
        <f>O67*8.314*$O$7/4*LN($O$9/$O$6)/$O$12/1000</f>
        <v>387.13912628320355</v>
      </c>
      <c r="Q67" s="17" t="s">
        <v>91</v>
      </c>
    </row>
    <row r="68" spans="2:17">
      <c r="C68" s="40" t="s">
        <v>92</v>
      </c>
      <c r="D68" s="1" t="s">
        <v>96</v>
      </c>
      <c r="E68" s="14">
        <f t="shared" si="19"/>
        <v>1037.6184557180779</v>
      </c>
      <c r="F68" s="15">
        <v>1460</v>
      </c>
      <c r="G68" s="15">
        <f t="shared" si="29"/>
        <v>1762.9251700680272</v>
      </c>
      <c r="I68" s="73">
        <f t="shared" si="4"/>
        <v>0.85</v>
      </c>
      <c r="J68" s="73">
        <f t="shared" si="5"/>
        <v>0.75</v>
      </c>
      <c r="K68" s="15">
        <f t="shared" si="30"/>
        <v>1489.795918367347</v>
      </c>
      <c r="L68" s="18">
        <f t="shared" si="21"/>
        <v>64.756415041419487</v>
      </c>
      <c r="M68" s="23">
        <f>L68*8.314*$L$7/4*LN($L$9/$L$6)/$L$12/1000</f>
        <v>114.74309041291944</v>
      </c>
      <c r="O68" s="18">
        <f t="shared" si="31"/>
        <v>254.57260986920423</v>
      </c>
      <c r="P68" s="23">
        <f>O68*8.314*$O$7/4*LN($O$9/$O$6)/$O$12/1000</f>
        <v>438.15746075463346</v>
      </c>
      <c r="Q68" s="17" t="s">
        <v>91</v>
      </c>
    </row>
    <row r="69" spans="2:17">
      <c r="C69" s="40" t="s">
        <v>92</v>
      </c>
      <c r="D69" s="1" t="s">
        <v>97</v>
      </c>
      <c r="E69" s="14">
        <f t="shared" si="19"/>
        <v>1236.6137759927776</v>
      </c>
      <c r="F69" s="15">
        <v>1740</v>
      </c>
      <c r="G69" s="15">
        <f t="shared" si="29"/>
        <v>2101.0204081632655</v>
      </c>
      <c r="I69" s="73">
        <f t="shared" si="4"/>
        <v>0.85</v>
      </c>
      <c r="J69" s="73">
        <f t="shared" si="5"/>
        <v>0.75</v>
      </c>
      <c r="K69" s="15">
        <f t="shared" si="30"/>
        <v>1775.5102040816328</v>
      </c>
      <c r="L69" s="18">
        <f t="shared" si="21"/>
        <v>77.175453542513637</v>
      </c>
      <c r="M69" s="23">
        <f>L69*8.314*$L$7/4*LN($L$9/$L$6)/$L$12/1000</f>
        <v>136.74861460169851</v>
      </c>
      <c r="O69" s="18">
        <f t="shared" si="31"/>
        <v>303.39475422768174</v>
      </c>
      <c r="P69" s="23">
        <f>O69*8.314*$O$7/4*LN($O$9/$O$6)/$O$12/1000</f>
        <v>522.18765870757693</v>
      </c>
      <c r="Q69" s="17" t="s">
        <v>91</v>
      </c>
    </row>
    <row r="70" spans="2:17">
      <c r="C70" s="40" t="s">
        <v>92</v>
      </c>
      <c r="D70" s="1" t="s">
        <v>98</v>
      </c>
      <c r="E70" s="14">
        <f t="shared" si="19"/>
        <v>1414.2881690951883</v>
      </c>
      <c r="F70" s="15">
        <v>1990</v>
      </c>
      <c r="G70" s="15">
        <f t="shared" si="29"/>
        <v>2402.8911564625851</v>
      </c>
      <c r="I70" s="73">
        <f t="shared" si="4"/>
        <v>0.85</v>
      </c>
      <c r="J70" s="73">
        <f t="shared" si="5"/>
        <v>0.75</v>
      </c>
      <c r="K70" s="15">
        <f t="shared" si="30"/>
        <v>2030.6122448979593</v>
      </c>
      <c r="L70" s="18">
        <f t="shared" si="21"/>
        <v>88.263880775633396</v>
      </c>
      <c r="M70" s="23">
        <f>L70*8.314*$L$7/4*LN($L$9/$L$6)/$L$12/1000</f>
        <v>156.39640405596555</v>
      </c>
      <c r="O70" s="18">
        <f t="shared" si="31"/>
        <v>346.98595454775096</v>
      </c>
      <c r="P70" s="23">
        <f>O70*8.314*$O$7/4*LN($O$9/$O$6)/$O$12/1000</f>
        <v>597.21462116556211</v>
      </c>
      <c r="Q70" s="17" t="s">
        <v>91</v>
      </c>
    </row>
    <row r="71" spans="2:17">
      <c r="C71" s="40" t="s">
        <v>92</v>
      </c>
      <c r="D71" s="1" t="s">
        <v>99</v>
      </c>
      <c r="E71" s="14">
        <f t="shared" si="19"/>
        <v>1698.5671980590453</v>
      </c>
      <c r="F71" s="15">
        <v>2390</v>
      </c>
      <c r="G71" s="15">
        <f t="shared" si="29"/>
        <v>2885.8843537414964</v>
      </c>
      <c r="I71" s="73">
        <f t="shared" si="4"/>
        <v>0.85</v>
      </c>
      <c r="J71" s="73">
        <f t="shared" si="5"/>
        <v>0.75</v>
      </c>
      <c r="K71" s="15">
        <f t="shared" si="30"/>
        <v>2438.7755102040815</v>
      </c>
      <c r="L71" s="18">
        <f t="shared" si="21"/>
        <v>106.00536434862502</v>
      </c>
      <c r="M71" s="23">
        <f>L71*8.314*$L$7/4*LN($L$9/$L$6)/$L$12/1000</f>
        <v>187.83286718279271</v>
      </c>
      <c r="O71" s="18">
        <f t="shared" si="31"/>
        <v>416.73187505986175</v>
      </c>
      <c r="P71" s="23">
        <f>O71*8.314*$O$7/4*LN($O$9/$O$6)/$O$12/1000</f>
        <v>717.25776109833839</v>
      </c>
      <c r="Q71" s="17" t="s">
        <v>91</v>
      </c>
    </row>
    <row r="72" spans="2:17" collapsed="1">
      <c r="C72" s="40" t="s">
        <v>92</v>
      </c>
      <c r="D72" s="1" t="s">
        <v>100</v>
      </c>
      <c r="E72" s="14">
        <f t="shared" si="19"/>
        <v>1952.9969289816972</v>
      </c>
      <c r="F72" s="15">
        <v>2748</v>
      </c>
      <c r="G72" s="15">
        <f t="shared" si="29"/>
        <v>3318.1632653061224</v>
      </c>
      <c r="I72" s="73">
        <f t="shared" si="4"/>
        <v>0.85</v>
      </c>
      <c r="J72" s="73">
        <f t="shared" si="5"/>
        <v>0.75</v>
      </c>
      <c r="K72" s="15">
        <f t="shared" si="30"/>
        <v>2804.0816326530612</v>
      </c>
      <c r="L72" s="18">
        <f t="shared" si="21"/>
        <v>121.88399214645256</v>
      </c>
      <c r="M72" s="23">
        <f>L72*8.314*$L$7/4*LN($L$9/$L$6)/$L$12/1000</f>
        <v>215.96850168130317</v>
      </c>
      <c r="O72" s="18">
        <f t="shared" si="31"/>
        <v>479.15447391820089</v>
      </c>
      <c r="P72" s="23">
        <f>O72*8.314*$O$7/4*LN($O$9/$O$6)/$O$12/1000</f>
        <v>824.69637133817321</v>
      </c>
      <c r="Q72" s="17" t="s">
        <v>91</v>
      </c>
    </row>
    <row r="73" spans="2:17">
      <c r="C73" s="40" t="s">
        <v>92</v>
      </c>
      <c r="D73" s="1" t="s">
        <v>101</v>
      </c>
      <c r="E73" s="14">
        <f t="shared" si="19"/>
        <v>2309.7671103313378</v>
      </c>
      <c r="F73" s="15">
        <v>3250</v>
      </c>
      <c r="G73" s="15">
        <f t="shared" si="29"/>
        <v>3924.3197278911566</v>
      </c>
      <c r="I73" s="73">
        <f t="shared" si="4"/>
        <v>0.85</v>
      </c>
      <c r="J73" s="73">
        <f t="shared" si="5"/>
        <v>0.75</v>
      </c>
      <c r="K73" s="15">
        <f t="shared" si="30"/>
        <v>3316.3265306122448</v>
      </c>
      <c r="L73" s="18">
        <f t="shared" si="21"/>
        <v>144.14955403055706</v>
      </c>
      <c r="M73" s="23">
        <f>L73*8.314*$L$7/4*LN($L$9/$L$6)/$L$12/1000</f>
        <v>255.42126290547131</v>
      </c>
      <c r="O73" s="18">
        <f t="shared" si="31"/>
        <v>566.68560416089974</v>
      </c>
      <c r="P73" s="23">
        <f>O73*8.314*$O$7/4*LN($O$9/$O$6)/$O$12/1000</f>
        <v>975.35051195380743</v>
      </c>
      <c r="Q73" s="17" t="s">
        <v>91</v>
      </c>
    </row>
    <row r="74" spans="2:17">
      <c r="C74" s="40" t="s">
        <v>92</v>
      </c>
      <c r="D74" s="1" t="s">
        <v>102</v>
      </c>
      <c r="E74" s="14">
        <f t="shared" si="19"/>
        <v>2949.3949255000152</v>
      </c>
      <c r="F74" s="15">
        <v>4150</v>
      </c>
      <c r="G74" s="15">
        <f t="shared" si="29"/>
        <v>5011.0544217687075</v>
      </c>
      <c r="I74" s="73">
        <f t="shared" si="4"/>
        <v>0.85</v>
      </c>
      <c r="J74" s="73">
        <f t="shared" si="5"/>
        <v>0.75</v>
      </c>
      <c r="K74" s="15">
        <f t="shared" si="30"/>
        <v>4234.6938775510207</v>
      </c>
      <c r="L74" s="18">
        <f t="shared" si="21"/>
        <v>184.06789206978826</v>
      </c>
      <c r="M74" s="23">
        <f>L74*8.314*$L$7/4*LN($L$9/$L$6)/$L$12/1000</f>
        <v>326.15330494083258</v>
      </c>
      <c r="O74" s="18">
        <f t="shared" si="31"/>
        <v>723.61392531314902</v>
      </c>
      <c r="P74" s="23">
        <f>O74*8.314*$O$7/4*LN($O$9/$O$6)/$O$12/1000</f>
        <v>1245.4475768025543</v>
      </c>
      <c r="Q74" s="17" t="s">
        <v>91</v>
      </c>
    </row>
    <row r="75" spans="2:17">
      <c r="C75" s="40" t="s">
        <v>92</v>
      </c>
      <c r="D75" s="1" t="s">
        <v>103</v>
      </c>
      <c r="E75" s="14">
        <f t="shared" si="19"/>
        <v>3482.4181048072473</v>
      </c>
      <c r="F75" s="15">
        <v>4900</v>
      </c>
      <c r="G75" s="15">
        <f t="shared" si="29"/>
        <v>5916.666666666667</v>
      </c>
      <c r="I75" s="73">
        <f t="shared" si="4"/>
        <v>0.85</v>
      </c>
      <c r="J75" s="73">
        <f t="shared" si="5"/>
        <v>0.75</v>
      </c>
      <c r="K75" s="15">
        <f t="shared" si="30"/>
        <v>5000</v>
      </c>
      <c r="L75" s="18">
        <f t="shared" si="21"/>
        <v>217.33317376914755</v>
      </c>
      <c r="M75" s="23">
        <f>L75*8.314*$L$7/4*LN($L$9/$L$6)/$L$12/1000</f>
        <v>385.09667330363368</v>
      </c>
      <c r="O75" s="18">
        <f t="shared" si="31"/>
        <v>854.38752627335668</v>
      </c>
      <c r="P75" s="23">
        <f>O75*8.314*$O$7/4*LN($O$9/$O$6)/$O$12/1000</f>
        <v>1470.5284641765095</v>
      </c>
      <c r="Q75" s="17" t="s">
        <v>91</v>
      </c>
    </row>
    <row r="76" spans="2:17">
      <c r="C76" s="40" t="s">
        <v>92</v>
      </c>
      <c r="D76" s="1" t="s">
        <v>104</v>
      </c>
      <c r="E76" s="14">
        <f t="shared" si="19"/>
        <v>4122.0459199759252</v>
      </c>
      <c r="F76" s="15">
        <v>5800</v>
      </c>
      <c r="G76" s="15">
        <f t="shared" si="29"/>
        <v>7003.4013605442178</v>
      </c>
      <c r="I76" s="73">
        <f t="shared" si="4"/>
        <v>0.85</v>
      </c>
      <c r="J76" s="73">
        <f t="shared" si="5"/>
        <v>0.75</v>
      </c>
      <c r="K76" s="15">
        <f t="shared" si="30"/>
        <v>5918.3673469387759</v>
      </c>
      <c r="L76" s="18">
        <f t="shared" si="21"/>
        <v>257.25151180837878</v>
      </c>
      <c r="M76" s="23">
        <f>L76*8.314*$L$7/4*LN($L$9/$L$6)/$L$12/1000</f>
        <v>455.82871533899504</v>
      </c>
      <c r="O76" s="18">
        <f t="shared" si="31"/>
        <v>1011.3158474256059</v>
      </c>
      <c r="P76" s="23">
        <f>O76*8.314*$O$7/4*LN($O$9/$O$6)/$O$12/1000</f>
        <v>1740.6255290252564</v>
      </c>
      <c r="Q76" s="17" t="s">
        <v>91</v>
      </c>
    </row>
    <row r="77" spans="2:17">
      <c r="C77" s="40" t="s">
        <v>92</v>
      </c>
      <c r="D77" s="1" t="s">
        <v>105</v>
      </c>
      <c r="E77" s="14">
        <f t="shared" si="19"/>
        <v>5053.0597398325572</v>
      </c>
      <c r="F77" s="15">
        <v>7110</v>
      </c>
      <c r="G77" s="15">
        <f t="shared" si="29"/>
        <v>8585.2040816326535</v>
      </c>
      <c r="I77" s="73">
        <f t="shared" si="4"/>
        <v>0.85</v>
      </c>
      <c r="J77" s="73">
        <f t="shared" si="5"/>
        <v>0.75</v>
      </c>
      <c r="K77" s="15">
        <f t="shared" si="30"/>
        <v>7255.1020408163267</v>
      </c>
      <c r="L77" s="18">
        <f t="shared" si="21"/>
        <v>315.3548705099264</v>
      </c>
      <c r="M77" s="23">
        <f>L77*8.314*$L$7/4*LN($L$9/$L$6)/$L$12/1000</f>
        <v>558.78313207935423</v>
      </c>
      <c r="O77" s="18">
        <f t="shared" si="31"/>
        <v>1239.7337371027684</v>
      </c>
      <c r="P77" s="23">
        <f>O77*8.314*$O$7/4*LN($O$9/$O$6)/$O$12/1000</f>
        <v>2133.7668123050985</v>
      </c>
      <c r="Q77" s="17" t="s">
        <v>91</v>
      </c>
    </row>
    <row r="78" spans="2:17">
      <c r="C78" s="40" t="s">
        <v>92</v>
      </c>
      <c r="D78" s="1" t="s">
        <v>106</v>
      </c>
      <c r="E78" s="14">
        <f t="shared" si="19"/>
        <v>6083.5712198265383</v>
      </c>
      <c r="F78" s="15">
        <v>8560</v>
      </c>
      <c r="G78" s="15">
        <f t="shared" si="29"/>
        <v>10336.054421768707</v>
      </c>
      <c r="I78" s="73">
        <f t="shared" si="4"/>
        <v>0.85</v>
      </c>
      <c r="J78" s="73">
        <f t="shared" si="5"/>
        <v>0.75</v>
      </c>
      <c r="K78" s="15">
        <f t="shared" si="30"/>
        <v>8734.6938775510207</v>
      </c>
      <c r="L78" s="18">
        <f t="shared" si="21"/>
        <v>379.66774846202105</v>
      </c>
      <c r="M78" s="23">
        <f>L78*8.314*$L$7/4*LN($L$9/$L$6)/$L$12/1000</f>
        <v>672.74031091410279</v>
      </c>
      <c r="O78" s="18">
        <f t="shared" si="31"/>
        <v>1492.5626989591701</v>
      </c>
      <c r="P78" s="23">
        <f>O78*8.314*$O$7/4*LN($O$9/$O$6)/$O$12/1000</f>
        <v>2568.9231945614129</v>
      </c>
      <c r="Q78" s="17" t="s">
        <v>91</v>
      </c>
    </row>
    <row r="79" spans="2:17">
      <c r="B79" s="12">
        <v>2950</v>
      </c>
      <c r="C79" s="50" t="s">
        <v>110</v>
      </c>
      <c r="D79" s="1" t="s">
        <v>130</v>
      </c>
      <c r="E79" s="14">
        <f t="shared" si="19"/>
        <v>592.72177538964172</v>
      </c>
      <c r="F79" s="15">
        <v>834</v>
      </c>
      <c r="G79" s="15">
        <f t="shared" si="29"/>
        <v>1007.0408163265306</v>
      </c>
      <c r="I79" s="73">
        <f t="shared" si="4"/>
        <v>0.85</v>
      </c>
      <c r="J79" s="73">
        <f t="shared" si="5"/>
        <v>0.75</v>
      </c>
      <c r="K79" s="15">
        <f t="shared" ref="K79:K91" si="32">F79*$K$16/$F$16</f>
        <v>851.0204081632653</v>
      </c>
      <c r="L79" s="18">
        <f t="shared" si="21"/>
        <v>36.99099324968757</v>
      </c>
      <c r="M79" s="23">
        <f>L79*8.314*$L$7/4*LN($L$9/$L$6)/$L$12/1000</f>
        <v>65.545025619434796</v>
      </c>
      <c r="O79" s="18">
        <f t="shared" ref="O79:O91" si="33">K79*$O$8*1000/3600</f>
        <v>145.42024426775092</v>
      </c>
      <c r="P79" s="23">
        <f>O79*8.314*$O$7/4*LN($O$9/$O$6)/$O$12/1000</f>
        <v>250.28994675983861</v>
      </c>
      <c r="Q79" s="17"/>
    </row>
    <row r="80" spans="2:17">
      <c r="C80" s="50" t="s">
        <v>110</v>
      </c>
      <c r="D80" s="1" t="s">
        <v>132</v>
      </c>
      <c r="E80" s="14">
        <f t="shared" si="19"/>
        <v>790.29570051952226</v>
      </c>
      <c r="F80" s="15">
        <v>1112</v>
      </c>
      <c r="G80" s="15">
        <f t="shared" si="29"/>
        <v>1342.7210884353742</v>
      </c>
      <c r="I80" s="73">
        <f t="shared" si="4"/>
        <v>0.85</v>
      </c>
      <c r="J80" s="73">
        <f t="shared" si="5"/>
        <v>0.75</v>
      </c>
      <c r="K80" s="15">
        <f t="shared" si="32"/>
        <v>1134.6938775510205</v>
      </c>
      <c r="L80" s="18">
        <f t="shared" si="21"/>
        <v>49.32132433291676</v>
      </c>
      <c r="M80" s="23">
        <f>L80*8.314*$L$7/4*LN($L$9/$L$6)/$L$12/1000</f>
        <v>87.393367492579756</v>
      </c>
      <c r="O80" s="18">
        <f t="shared" si="33"/>
        <v>193.89365902366788</v>
      </c>
      <c r="P80" s="23">
        <f>O80*8.314*$O$7/4*LN($O$9/$O$6)/$O$12/1000</f>
        <v>333.71992901311813</v>
      </c>
      <c r="Q80" s="17"/>
    </row>
    <row r="81" spans="3:17">
      <c r="C81" s="50" t="s">
        <v>110</v>
      </c>
      <c r="D81" s="1" t="s">
        <v>133</v>
      </c>
      <c r="E81" s="14">
        <f t="shared" si="19"/>
        <v>1043.304036297355</v>
      </c>
      <c r="F81" s="15">
        <v>1468</v>
      </c>
      <c r="G81" s="15">
        <f t="shared" si="29"/>
        <v>1772.5850340136055</v>
      </c>
      <c r="I81" s="73">
        <f t="shared" si="4"/>
        <v>0.85</v>
      </c>
      <c r="J81" s="73">
        <f t="shared" si="5"/>
        <v>0.75</v>
      </c>
      <c r="K81" s="15">
        <f t="shared" si="32"/>
        <v>1497.9591836734694</v>
      </c>
      <c r="L81" s="18">
        <f t="shared" si="21"/>
        <v>65.111244712879312</v>
      </c>
      <c r="M81" s="23">
        <f>L81*8.314*$L$7/4*LN($L$9/$L$6)/$L$12/1000</f>
        <v>115.37181967545598</v>
      </c>
      <c r="O81" s="18">
        <f t="shared" si="33"/>
        <v>255.96752827944644</v>
      </c>
      <c r="P81" s="23">
        <f>O81*8.314*$O$7/4*LN($O$9/$O$6)/$O$12/1000</f>
        <v>440.55832355328909</v>
      </c>
      <c r="Q81" s="17"/>
    </row>
    <row r="82" spans="3:17">
      <c r="C82" s="50" t="s">
        <v>110</v>
      </c>
      <c r="D82" s="1" t="s">
        <v>134</v>
      </c>
      <c r="E82" s="14">
        <f t="shared" si="19"/>
        <v>1313.3691138130191</v>
      </c>
      <c r="F82" s="15">
        <v>1848</v>
      </c>
      <c r="G82" s="15">
        <f t="shared" si="29"/>
        <v>2231.4285714285716</v>
      </c>
      <c r="I82" s="73">
        <f t="shared" si="4"/>
        <v>0.85</v>
      </c>
      <c r="J82" s="73">
        <f t="shared" si="5"/>
        <v>0.75</v>
      </c>
      <c r="K82" s="15">
        <f t="shared" si="32"/>
        <v>1885.7142857142858</v>
      </c>
      <c r="L82" s="18">
        <f t="shared" si="21"/>
        <v>81.965654107221354</v>
      </c>
      <c r="M82" s="23">
        <f>L82*8.314*$L$7/4*LN($L$9/$L$6)/$L$12/1000</f>
        <v>145.23645964594184</v>
      </c>
      <c r="O82" s="18">
        <f t="shared" si="33"/>
        <v>322.22615276595172</v>
      </c>
      <c r="P82" s="23">
        <f>O82*8.314*$O$7/4*LN($O$9/$O$6)/$O$12/1000</f>
        <v>554.59930648942668</v>
      </c>
      <c r="Q82" s="17"/>
    </row>
    <row r="83" spans="3:17">
      <c r="C83" s="50" t="s">
        <v>110</v>
      </c>
      <c r="D83" s="1" t="s">
        <v>135</v>
      </c>
      <c r="E83" s="14">
        <f t="shared" si="19"/>
        <v>1622.5225578112136</v>
      </c>
      <c r="F83" s="15">
        <v>2283</v>
      </c>
      <c r="G83" s="15">
        <f t="shared" si="29"/>
        <v>2756.6836734693879</v>
      </c>
      <c r="I83" s="73">
        <f t="shared" si="4"/>
        <v>0.85</v>
      </c>
      <c r="J83" s="73">
        <f t="shared" si="5"/>
        <v>0.75</v>
      </c>
      <c r="K83" s="15">
        <f t="shared" si="32"/>
        <v>2329.591836734694</v>
      </c>
      <c r="L83" s="18">
        <f t="shared" si="21"/>
        <v>101.25951749284978</v>
      </c>
      <c r="M83" s="23">
        <f>L83*8.314*$L$7/4*LN($L$9/$L$6)/$L$12/1000</f>
        <v>179.42361329636651</v>
      </c>
      <c r="O83" s="18">
        <f t="shared" si="33"/>
        <v>398.07484132287209</v>
      </c>
      <c r="P83" s="23">
        <f>O83*8.314*$O$7/4*LN($O$9/$O$6)/$O$12/1000</f>
        <v>685.14622116632086</v>
      </c>
      <c r="Q83" s="17"/>
    </row>
    <row r="84" spans="3:17">
      <c r="C84" s="50" t="s">
        <v>110</v>
      </c>
      <c r="D84" s="1" t="s">
        <v>136</v>
      </c>
      <c r="E84" s="14">
        <f t="shared" si="19"/>
        <v>1869.1346154373591</v>
      </c>
      <c r="F84" s="15">
        <v>2630</v>
      </c>
      <c r="G84" s="15">
        <f t="shared" si="29"/>
        <v>3175.6802721088434</v>
      </c>
      <c r="I84" s="73">
        <f t="shared" ref="I84:I103" si="34">$I$14</f>
        <v>0.85</v>
      </c>
      <c r="J84" s="73">
        <f t="shared" ref="J84:J103" si="35">$J$14</f>
        <v>0.75</v>
      </c>
      <c r="K84" s="15">
        <f t="shared" si="32"/>
        <v>2683.6734693877552</v>
      </c>
      <c r="L84" s="18">
        <f t="shared" si="21"/>
        <v>116.65025449242003</v>
      </c>
      <c r="M84" s="23">
        <f>L84*8.314*$L$7/4*LN($L$9/$L$6)/$L$12/1000</f>
        <v>206.69474505888911</v>
      </c>
      <c r="O84" s="18">
        <f t="shared" si="33"/>
        <v>458.57942736712823</v>
      </c>
      <c r="P84" s="23">
        <f>O84*8.314*$O$7/4*LN($O$9/$O$6)/$O$12/1000</f>
        <v>789.28364505800437</v>
      </c>
      <c r="Q84" s="17"/>
    </row>
    <row r="85" spans="3:17" collapsed="1">
      <c r="C85" s="50" t="s">
        <v>110</v>
      </c>
      <c r="D85" s="1" t="s">
        <v>138</v>
      </c>
      <c r="E85" s="14">
        <f t="shared" si="19"/>
        <v>2353.8303598207353</v>
      </c>
      <c r="F85" s="15">
        <v>3312</v>
      </c>
      <c r="G85" s="15">
        <f t="shared" si="29"/>
        <v>3999.1836734693879</v>
      </c>
      <c r="I85" s="73">
        <f t="shared" si="34"/>
        <v>0.85</v>
      </c>
      <c r="J85" s="73">
        <f t="shared" si="35"/>
        <v>0.75</v>
      </c>
      <c r="K85" s="15">
        <f t="shared" si="32"/>
        <v>3379.591836734694</v>
      </c>
      <c r="L85" s="18">
        <f t="shared" si="21"/>
        <v>146.89948398437076</v>
      </c>
      <c r="M85" s="23">
        <f>L85*8.314*$L$7/4*LN($L$9/$L$6)/$L$12/1000</f>
        <v>260.29391469012955</v>
      </c>
      <c r="O85" s="18">
        <f t="shared" si="33"/>
        <v>577.49622184027703</v>
      </c>
      <c r="P85" s="23">
        <f>O85*8.314*$O$7/4*LN($O$9/$O$6)/$O$12/1000</f>
        <v>993.95719864338787</v>
      </c>
      <c r="Q85" s="17"/>
    </row>
    <row r="86" spans="3:17">
      <c r="C86" s="50" t="s">
        <v>110</v>
      </c>
      <c r="D86" s="1" t="s">
        <v>139</v>
      </c>
      <c r="E86" s="14">
        <f t="shared" si="19"/>
        <v>2832.1298260524245</v>
      </c>
      <c r="F86" s="15">
        <v>3985</v>
      </c>
      <c r="G86" s="15">
        <f t="shared" si="29"/>
        <v>4811.8197278911566</v>
      </c>
      <c r="I86" s="73">
        <f t="shared" si="34"/>
        <v>0.85</v>
      </c>
      <c r="J86" s="73">
        <f t="shared" si="35"/>
        <v>0.75</v>
      </c>
      <c r="K86" s="15">
        <f t="shared" si="32"/>
        <v>4066.3265306122448</v>
      </c>
      <c r="L86" s="18">
        <f t="shared" si="21"/>
        <v>176.7495300959292</v>
      </c>
      <c r="M86" s="23">
        <f>L86*8.314*$L$7/4*LN($L$9/$L$6)/$L$12/1000</f>
        <v>313.18576390101634</v>
      </c>
      <c r="O86" s="18">
        <f t="shared" si="33"/>
        <v>694.84373310190335</v>
      </c>
      <c r="P86" s="23">
        <f>O86*8.314*$O$7/4*LN($O$9/$O$6)/$O$12/1000</f>
        <v>1195.9297815802838</v>
      </c>
      <c r="Q86" s="17"/>
    </row>
    <row r="87" spans="3:17">
      <c r="C87" s="50" t="s">
        <v>110</v>
      </c>
      <c r="D87" s="1" t="s">
        <v>140</v>
      </c>
      <c r="E87" s="14">
        <f t="shared" si="19"/>
        <v>3198.8497734158004</v>
      </c>
      <c r="F87" s="15">
        <v>4501</v>
      </c>
      <c r="G87" s="15">
        <f t="shared" si="29"/>
        <v>5434.8809523809523</v>
      </c>
      <c r="I87" s="73">
        <f t="shared" si="34"/>
        <v>0.85</v>
      </c>
      <c r="J87" s="73">
        <f t="shared" si="35"/>
        <v>0.75</v>
      </c>
      <c r="K87" s="15">
        <f t="shared" si="32"/>
        <v>4592.8571428571431</v>
      </c>
      <c r="L87" s="18">
        <f t="shared" si="21"/>
        <v>199.6360439050884</v>
      </c>
      <c r="M87" s="23">
        <f>L87*8.314*$L$7/4*LN($L$9/$L$6)/$L$12/1000</f>
        <v>353.73880133462353</v>
      </c>
      <c r="O87" s="18">
        <f t="shared" si="33"/>
        <v>784.81597056252622</v>
      </c>
      <c r="P87" s="23">
        <f>O87*8.314*$O$7/4*LN($O$9/$O$6)/$O$12/1000</f>
        <v>1350.7854320935653</v>
      </c>
      <c r="Q87" s="17"/>
    </row>
    <row r="88" spans="3:17">
      <c r="C88" s="50" t="s">
        <v>110</v>
      </c>
      <c r="D88" s="1" t="s">
        <v>141</v>
      </c>
      <c r="E88" s="14">
        <f t="shared" si="19"/>
        <v>2928.0739983277267</v>
      </c>
      <c r="F88" s="15">
        <v>4120</v>
      </c>
      <c r="G88" s="15">
        <f t="shared" si="29"/>
        <v>4974.8299319727894</v>
      </c>
      <c r="I88" s="73">
        <f t="shared" si="34"/>
        <v>0.85</v>
      </c>
      <c r="J88" s="73">
        <f t="shared" si="35"/>
        <v>0.75</v>
      </c>
      <c r="K88" s="15">
        <f t="shared" si="32"/>
        <v>4204.0816326530612</v>
      </c>
      <c r="L88" s="18">
        <f t="shared" si="21"/>
        <v>182.73728080181385</v>
      </c>
      <c r="M88" s="23">
        <f>L88*8.314*$L$7/4*LN($L$9/$L$6)/$L$12/1000</f>
        <v>323.79557020632058</v>
      </c>
      <c r="O88" s="18">
        <f t="shared" si="33"/>
        <v>718.3829812747407</v>
      </c>
      <c r="P88" s="23">
        <f>O88*8.314*$O$7/4*LN($O$9/$O$6)/$O$12/1000</f>
        <v>1236.4443413075958</v>
      </c>
      <c r="Q88" s="17"/>
    </row>
    <row r="89" spans="3:17">
      <c r="C89" s="50" t="s">
        <v>110</v>
      </c>
      <c r="D89" s="1" t="s">
        <v>142</v>
      </c>
      <c r="E89" s="14">
        <f t="shared" si="19"/>
        <v>3992.6989617973704</v>
      </c>
      <c r="F89" s="15">
        <v>5618</v>
      </c>
      <c r="G89" s="15">
        <f t="shared" si="29"/>
        <v>6783.6394557823132</v>
      </c>
      <c r="I89" s="73">
        <f t="shared" si="34"/>
        <v>0.85</v>
      </c>
      <c r="J89" s="73">
        <f t="shared" si="35"/>
        <v>0.75</v>
      </c>
      <c r="K89" s="15">
        <f t="shared" si="32"/>
        <v>5732.6530612244896</v>
      </c>
      <c r="L89" s="18">
        <f t="shared" si="21"/>
        <v>249.17913678266754</v>
      </c>
      <c r="M89" s="23">
        <f>L89*8.314*$L$7/4*LN($L$9/$L$6)/$L$12/1000</f>
        <v>441.52512461628851</v>
      </c>
      <c r="O89" s="18">
        <f t="shared" si="33"/>
        <v>979.58145359259549</v>
      </c>
      <c r="P89" s="23">
        <f>O89*8.314*$O$7/4*LN($O$9/$O$6)/$O$12/1000</f>
        <v>1686.0059003558431</v>
      </c>
      <c r="Q89" s="17"/>
    </row>
    <row r="90" spans="3:17">
      <c r="C90" s="50" t="s">
        <v>110</v>
      </c>
      <c r="D90" s="1" t="s">
        <v>143</v>
      </c>
      <c r="E90" s="14">
        <f t="shared" si="19"/>
        <v>5081.4876427289437</v>
      </c>
      <c r="F90" s="15">
        <v>7150</v>
      </c>
      <c r="G90" s="15">
        <f t="shared" si="29"/>
        <v>8633.5034013605436</v>
      </c>
      <c r="I90" s="73">
        <f t="shared" si="34"/>
        <v>0.85</v>
      </c>
      <c r="J90" s="73">
        <f t="shared" si="35"/>
        <v>0.75</v>
      </c>
      <c r="K90" s="15">
        <f t="shared" si="32"/>
        <v>7295.9183673469388</v>
      </c>
      <c r="L90" s="18">
        <f t="shared" si="21"/>
        <v>317.12901886722551</v>
      </c>
      <c r="M90" s="23">
        <f>L90*8.314*$L$7/4*LN($L$9/$L$6)/$L$12/1000</f>
        <v>561.92677839203679</v>
      </c>
      <c r="O90" s="18">
        <f t="shared" si="33"/>
        <v>1246.7083291539798</v>
      </c>
      <c r="P90" s="23">
        <f>O90*8.314*$O$7/4*LN($O$9/$O$6)/$O$12/1000</f>
        <v>2145.7711262983762</v>
      </c>
      <c r="Q90" s="17"/>
    </row>
    <row r="91" spans="3:17">
      <c r="C91" s="50" t="s">
        <v>110</v>
      </c>
      <c r="D91" s="1" t="s">
        <v>144</v>
      </c>
      <c r="E91" s="14">
        <f t="shared" si="19"/>
        <v>6419.7311715762999</v>
      </c>
      <c r="F91" s="15">
        <v>9033</v>
      </c>
      <c r="G91" s="15">
        <f t="shared" si="29"/>
        <v>10907.193877551021</v>
      </c>
      <c r="I91" s="73">
        <f t="shared" si="34"/>
        <v>0.85</v>
      </c>
      <c r="J91" s="73">
        <f t="shared" si="35"/>
        <v>0.75</v>
      </c>
      <c r="K91" s="15">
        <f t="shared" si="32"/>
        <v>9217.3469387755104</v>
      </c>
      <c r="L91" s="18">
        <f t="shared" si="21"/>
        <v>400.64705278708368</v>
      </c>
      <c r="M91" s="23">
        <f>L91*8.314*$L$7/4*LN($L$9/$L$6)/$L$12/1000</f>
        <v>709.91392856157609</v>
      </c>
      <c r="O91" s="18">
        <f t="shared" si="33"/>
        <v>1575.037249964741</v>
      </c>
      <c r="P91" s="23">
        <f>O91*8.314*$O$7/4*LN($O$9/$O$6)/$O$12/1000</f>
        <v>2710.8742075319205</v>
      </c>
      <c r="Q91" s="17"/>
    </row>
    <row r="92" spans="3:17">
      <c r="C92" s="51" t="s">
        <v>158</v>
      </c>
      <c r="D92" s="1" t="s">
        <v>146</v>
      </c>
      <c r="E92" s="14">
        <f t="shared" si="19"/>
        <v>496.77760311434002</v>
      </c>
      <c r="F92" s="15">
        <v>699</v>
      </c>
      <c r="G92" s="15">
        <f t="shared" si="29"/>
        <v>844.03061224489795</v>
      </c>
      <c r="I92" s="73">
        <f t="shared" si="34"/>
        <v>0.85</v>
      </c>
      <c r="J92" s="73">
        <f t="shared" si="35"/>
        <v>0.75</v>
      </c>
      <c r="K92" s="15">
        <f t="shared" ref="K92:K103" si="36">F92*$K$16/$F$16</f>
        <v>713.26530612244903</v>
      </c>
      <c r="L92" s="18">
        <f t="shared" si="21"/>
        <v>31.003242543802887</v>
      </c>
      <c r="M92" s="23">
        <f>L92*8.314*$L$7/4*LN($L$9/$L$6)/$L$12/1000</f>
        <v>54.935219314130606</v>
      </c>
      <c r="O92" s="18">
        <f t="shared" ref="O92:O103" si="37">K92*$O$8*1000/3600</f>
        <v>121.88099609491354</v>
      </c>
      <c r="P92" s="23">
        <f>O92*8.314*$O$7/4*LN($O$9/$O$6)/$O$12/1000</f>
        <v>209.7753870325266</v>
      </c>
      <c r="Q92" s="17" t="s">
        <v>159</v>
      </c>
    </row>
    <row r="93" spans="3:17">
      <c r="C93" s="51" t="s">
        <v>158</v>
      </c>
      <c r="D93" s="1" t="s">
        <v>148</v>
      </c>
      <c r="E93" s="14">
        <f t="shared" si="19"/>
        <v>653.84176661687104</v>
      </c>
      <c r="F93" s="15">
        <v>920</v>
      </c>
      <c r="G93" s="15">
        <f t="shared" si="29"/>
        <v>1110.8843537414966</v>
      </c>
      <c r="I93" s="73">
        <f t="shared" si="34"/>
        <v>0.85</v>
      </c>
      <c r="J93" s="73">
        <f t="shared" si="35"/>
        <v>0.75</v>
      </c>
      <c r="K93" s="15">
        <f t="shared" si="36"/>
        <v>938.77551020408168</v>
      </c>
      <c r="L93" s="18">
        <f t="shared" si="21"/>
        <v>40.805412217880772</v>
      </c>
      <c r="M93" s="23">
        <f>L93*8.314*$L$7/4*LN($L$9/$L$6)/$L$12/1000</f>
        <v>72.303865191702656</v>
      </c>
      <c r="O93" s="18">
        <f t="shared" si="37"/>
        <v>160.41561717785476</v>
      </c>
      <c r="P93" s="23">
        <f>O93*8.314*$O$7/4*LN($O$9/$O$6)/$O$12/1000</f>
        <v>276.09922184538561</v>
      </c>
      <c r="Q93" s="17" t="s">
        <v>159</v>
      </c>
    </row>
    <row r="94" spans="3:17">
      <c r="C94" s="51" t="s">
        <v>158</v>
      </c>
      <c r="D94" s="1" t="s">
        <v>147</v>
      </c>
      <c r="E94" s="14">
        <f t="shared" si="19"/>
        <v>867.76173591217321</v>
      </c>
      <c r="F94" s="15">
        <v>1221</v>
      </c>
      <c r="G94" s="15">
        <f t="shared" si="29"/>
        <v>1474.3367346938776</v>
      </c>
      <c r="I94" s="73">
        <f t="shared" si="34"/>
        <v>0.85</v>
      </c>
      <c r="J94" s="73">
        <f t="shared" si="35"/>
        <v>0.75</v>
      </c>
      <c r="K94" s="15">
        <f t="shared" si="36"/>
        <v>1245.9183673469388</v>
      </c>
      <c r="L94" s="18">
        <f t="shared" si="21"/>
        <v>54.155878606556975</v>
      </c>
      <c r="M94" s="23">
        <f>L94*8.314*$L$7/4*LN($L$9/$L$6)/$L$12/1000</f>
        <v>95.959803694640144</v>
      </c>
      <c r="O94" s="18">
        <f t="shared" si="37"/>
        <v>212.89942236321804</v>
      </c>
      <c r="P94" s="23">
        <f>O94*8.314*$O$7/4*LN($O$9/$O$6)/$O$12/1000</f>
        <v>366.4316846447997</v>
      </c>
      <c r="Q94" s="17" t="s">
        <v>159</v>
      </c>
    </row>
    <row r="95" spans="3:17">
      <c r="C95" s="51" t="s">
        <v>158</v>
      </c>
      <c r="D95" s="1" t="s">
        <v>155</v>
      </c>
      <c r="E95" s="14">
        <f t="shared" si="19"/>
        <v>981.47334749771608</v>
      </c>
      <c r="F95" s="15">
        <v>1381</v>
      </c>
      <c r="G95" s="15">
        <f t="shared" si="29"/>
        <v>1667.5340136054422</v>
      </c>
      <c r="I95" s="73">
        <f t="shared" si="34"/>
        <v>0.85</v>
      </c>
      <c r="J95" s="73">
        <f t="shared" si="35"/>
        <v>0.75</v>
      </c>
      <c r="K95" s="15">
        <f t="shared" si="36"/>
        <v>1409.1836734693877</v>
      </c>
      <c r="L95" s="18">
        <f t="shared" si="21"/>
        <v>61.25247203575362</v>
      </c>
      <c r="M95" s="23">
        <f>L95*8.314*$L$7/4*LN($L$9/$L$6)/$L$12/1000</f>
        <v>108.53438894537105</v>
      </c>
      <c r="O95" s="18">
        <f t="shared" si="37"/>
        <v>240.79779056806237</v>
      </c>
      <c r="P95" s="23">
        <f>O95*8.314*$O$7/4*LN($O$9/$O$6)/$O$12/1000</f>
        <v>414.44894061791024</v>
      </c>
      <c r="Q95" s="17" t="s">
        <v>159</v>
      </c>
    </row>
    <row r="96" spans="3:17" collapsed="1">
      <c r="C96" s="51" t="s">
        <v>158</v>
      </c>
      <c r="D96" s="1" t="s">
        <v>156</v>
      </c>
      <c r="E96" s="14">
        <f t="shared" si="19"/>
        <v>1285.6519084890431</v>
      </c>
      <c r="F96" s="15">
        <v>1809</v>
      </c>
      <c r="G96" s="15">
        <f t="shared" si="29"/>
        <v>2184.3367346938776</v>
      </c>
      <c r="I96" s="73">
        <f t="shared" si="34"/>
        <v>0.85</v>
      </c>
      <c r="J96" s="73">
        <f t="shared" si="35"/>
        <v>0.75</v>
      </c>
      <c r="K96" s="15">
        <f t="shared" si="36"/>
        <v>1845.9183673469388</v>
      </c>
      <c r="L96" s="18">
        <f t="shared" si="21"/>
        <v>80.235859458854691</v>
      </c>
      <c r="M96" s="23">
        <f>L96*8.314*$L$7/4*LN($L$9/$L$6)/$L$12/1000</f>
        <v>142.1714044910762</v>
      </c>
      <c r="O96" s="18">
        <f t="shared" si="37"/>
        <v>315.42592551602087</v>
      </c>
      <c r="P96" s="23">
        <f>O96*8.314*$O$7/4*LN($O$9/$O$6)/$O$12/1000</f>
        <v>542.89510034598084</v>
      </c>
      <c r="Q96" s="17" t="s">
        <v>159</v>
      </c>
    </row>
    <row r="97" spans="3:17">
      <c r="C97" s="51" t="s">
        <v>158</v>
      </c>
      <c r="D97" s="1" t="s">
        <v>157</v>
      </c>
      <c r="E97" s="14">
        <f t="shared" si="19"/>
        <v>1713.4918470796476</v>
      </c>
      <c r="F97" s="15">
        <v>2411</v>
      </c>
      <c r="G97" s="15">
        <f t="shared" si="29"/>
        <v>2911.2414965986395</v>
      </c>
      <c r="I97" s="73">
        <f t="shared" si="34"/>
        <v>0.85</v>
      </c>
      <c r="J97" s="73">
        <f t="shared" si="35"/>
        <v>0.75</v>
      </c>
      <c r="K97" s="15">
        <f t="shared" si="36"/>
        <v>2460.204081632653</v>
      </c>
      <c r="L97" s="18">
        <f t="shared" si="21"/>
        <v>106.93679223620708</v>
      </c>
      <c r="M97" s="23">
        <f>L97*8.314*$L$7/4*LN($L$9/$L$6)/$L$12/1000</f>
        <v>189.48328149695112</v>
      </c>
      <c r="O97" s="18">
        <f t="shared" si="37"/>
        <v>420.39353588674754</v>
      </c>
      <c r="P97" s="23">
        <f>O97*8.314*$O$7/4*LN($O$9/$O$6)/$O$12/1000</f>
        <v>723.56002594480924</v>
      </c>
      <c r="Q97" s="17" t="s">
        <v>159</v>
      </c>
    </row>
    <row r="98" spans="3:17">
      <c r="C98" s="51" t="s">
        <v>158</v>
      </c>
      <c r="D98" s="1" t="s">
        <v>152</v>
      </c>
      <c r="E98" s="14">
        <f t="shared" si="19"/>
        <v>1924.5690260853114</v>
      </c>
      <c r="F98" s="15">
        <v>2708</v>
      </c>
      <c r="G98" s="15">
        <f t="shared" si="29"/>
        <v>3269.8639455782313</v>
      </c>
      <c r="I98" s="73">
        <f t="shared" si="34"/>
        <v>0.85</v>
      </c>
      <c r="J98" s="73">
        <f t="shared" si="35"/>
        <v>0.75</v>
      </c>
      <c r="K98" s="15">
        <f t="shared" si="36"/>
        <v>2763.2653061224491</v>
      </c>
      <c r="L98" s="18">
        <f t="shared" si="21"/>
        <v>120.10984378915339</v>
      </c>
      <c r="M98" s="23">
        <f>L98*8.314*$L$7/4*LN($L$9/$L$6)/$L$12/1000</f>
        <v>212.82485536862043</v>
      </c>
      <c r="O98" s="18">
        <f t="shared" si="37"/>
        <v>472.17988186698977</v>
      </c>
      <c r="P98" s="23">
        <f>O98*8.314*$O$7/4*LN($O$9/$O$6)/$O$12/1000</f>
        <v>812.69205734489572</v>
      </c>
      <c r="Q98" s="17" t="s">
        <v>159</v>
      </c>
    </row>
    <row r="99" spans="3:17">
      <c r="C99" s="51" t="s">
        <v>158</v>
      </c>
      <c r="D99" s="1" t="s">
        <v>153</v>
      </c>
      <c r="E99" s="14">
        <f t="shared" si="19"/>
        <v>2528.6619626335073</v>
      </c>
      <c r="F99" s="15">
        <v>3558</v>
      </c>
      <c r="G99" s="15">
        <f t="shared" si="29"/>
        <v>4296.2244897959181</v>
      </c>
      <c r="I99" s="73">
        <f t="shared" si="34"/>
        <v>0.85</v>
      </c>
      <c r="J99" s="73">
        <f t="shared" si="35"/>
        <v>0.75</v>
      </c>
      <c r="K99" s="15">
        <f t="shared" si="36"/>
        <v>3630.612244897959</v>
      </c>
      <c r="L99" s="18">
        <f t="shared" si="21"/>
        <v>157.8104963817606</v>
      </c>
      <c r="M99" s="23">
        <f>L99*8.314*$L$7/4*LN($L$9/$L$6)/$L$12/1000</f>
        <v>279.62733951312822</v>
      </c>
      <c r="O99" s="18">
        <f t="shared" si="37"/>
        <v>620.38996295522497</v>
      </c>
      <c r="P99" s="23">
        <f>O99*8.314*$O$7/4*LN($O$9/$O$6)/$O$12/1000</f>
        <v>1067.7837297020449</v>
      </c>
      <c r="Q99" s="17" t="s">
        <v>159</v>
      </c>
    </row>
    <row r="100" spans="3:17">
      <c r="C100" s="51" t="s">
        <v>158</v>
      </c>
      <c r="D100" s="1" t="s">
        <v>154</v>
      </c>
      <c r="E100" s="14">
        <f t="shared" si="19"/>
        <v>3363.7316102148375</v>
      </c>
      <c r="F100" s="15">
        <v>4733</v>
      </c>
      <c r="G100" s="15">
        <f t="shared" si="29"/>
        <v>5715.017006802721</v>
      </c>
      <c r="I100" s="73">
        <f t="shared" si="34"/>
        <v>0.85</v>
      </c>
      <c r="J100" s="73">
        <f t="shared" si="35"/>
        <v>0.75</v>
      </c>
      <c r="K100" s="15">
        <f t="shared" si="36"/>
        <v>4829.591836734694</v>
      </c>
      <c r="L100" s="18">
        <f t="shared" si="21"/>
        <v>209.92610437742357</v>
      </c>
      <c r="M100" s="23">
        <f>L100*8.314*$L$7/4*LN($L$9/$L$6)/$L$12/1000</f>
        <v>371.97194994818335</v>
      </c>
      <c r="O100" s="18">
        <f t="shared" si="37"/>
        <v>825.26860445955049</v>
      </c>
      <c r="P100" s="23">
        <f>O100*8.314*$O$7/4*LN($O$9/$O$6)/$O$12/1000</f>
        <v>1420.4104532545757</v>
      </c>
      <c r="Q100" s="17" t="s">
        <v>159</v>
      </c>
    </row>
    <row r="101" spans="3:17">
      <c r="C101" s="51" t="s">
        <v>158</v>
      </c>
      <c r="D101" s="1" t="s">
        <v>149</v>
      </c>
      <c r="E101" s="14">
        <f t="shared" si="19"/>
        <v>4050.2654651625521</v>
      </c>
      <c r="F101" s="15">
        <v>5699</v>
      </c>
      <c r="G101" s="15">
        <f t="shared" si="29"/>
        <v>6881.4455782312925</v>
      </c>
      <c r="I101" s="73">
        <f t="shared" si="34"/>
        <v>0.85</v>
      </c>
      <c r="J101" s="73">
        <f t="shared" si="35"/>
        <v>0.75</v>
      </c>
      <c r="K101" s="15">
        <f t="shared" si="36"/>
        <v>5815.3061224489793</v>
      </c>
      <c r="L101" s="18">
        <f t="shared" si="21"/>
        <v>252.77178720619833</v>
      </c>
      <c r="M101" s="23">
        <f>L101*8.314*$L$7/4*LN($L$9/$L$6)/$L$12/1000</f>
        <v>447.89100839947105</v>
      </c>
      <c r="O101" s="18">
        <f t="shared" si="37"/>
        <v>993.70500249629788</v>
      </c>
      <c r="P101" s="23">
        <f>O101*8.314*$O$7/4*LN($O$9/$O$6)/$O$12/1000</f>
        <v>1710.3146361922304</v>
      </c>
      <c r="Q101" s="17" t="s">
        <v>159</v>
      </c>
    </row>
    <row r="102" spans="3:17">
      <c r="C102" s="51" t="s">
        <v>158</v>
      </c>
      <c r="D102" s="1" t="s">
        <v>150</v>
      </c>
      <c r="E102" s="14">
        <f t="shared" si="19"/>
        <v>5301.0931926035228</v>
      </c>
      <c r="F102" s="15">
        <v>7459</v>
      </c>
      <c r="G102" s="15">
        <f t="shared" si="29"/>
        <v>9006.6156462585041</v>
      </c>
      <c r="I102" s="73">
        <f t="shared" si="34"/>
        <v>0.85</v>
      </c>
      <c r="J102" s="73">
        <f t="shared" si="35"/>
        <v>0.75</v>
      </c>
      <c r="K102" s="15">
        <f t="shared" si="36"/>
        <v>7611.2244897959181</v>
      </c>
      <c r="L102" s="18">
        <f t="shared" si="21"/>
        <v>330.83431492736156</v>
      </c>
      <c r="M102" s="23">
        <f>L102*8.314*$L$7/4*LN($L$9/$L$6)/$L$12/1000</f>
        <v>586.21144615751086</v>
      </c>
      <c r="O102" s="18">
        <f t="shared" si="37"/>
        <v>1300.5870527495849</v>
      </c>
      <c r="P102" s="23">
        <f>O102*8.314*$O$7/4*LN($O$9/$O$6)/$O$12/1000</f>
        <v>2238.504451896446</v>
      </c>
      <c r="Q102" s="17" t="s">
        <v>159</v>
      </c>
    </row>
    <row r="103" spans="3:17">
      <c r="C103" s="51" t="s">
        <v>158</v>
      </c>
      <c r="D103" s="1" t="s">
        <v>151</v>
      </c>
      <c r="E103" s="14">
        <f t="shared" si="19"/>
        <v>7062.2017770346165</v>
      </c>
      <c r="F103" s="15">
        <v>9937</v>
      </c>
      <c r="G103" s="15">
        <f t="shared" si="29"/>
        <v>11998.758503401361</v>
      </c>
      <c r="I103" s="73">
        <f t="shared" si="34"/>
        <v>0.85</v>
      </c>
      <c r="J103" s="73">
        <f t="shared" si="35"/>
        <v>0.75</v>
      </c>
      <c r="K103" s="15">
        <f t="shared" si="36"/>
        <v>10139.795918367347</v>
      </c>
      <c r="L103" s="18">
        <f t="shared" si="21"/>
        <v>440.74280566204476</v>
      </c>
      <c r="M103" s="23">
        <f>L103*8.314*$L$7/4*LN($L$9/$L$6)/$L$12/1000</f>
        <v>780.96033522820574</v>
      </c>
      <c r="O103" s="18">
        <f t="shared" si="37"/>
        <v>1732.6630303221114</v>
      </c>
      <c r="P103" s="23">
        <f>O103*8.314*$O$7/4*LN($O$9/$O$6)/$O$12/1000</f>
        <v>2982.1717037799954</v>
      </c>
      <c r="Q103" s="17" t="s">
        <v>159</v>
      </c>
    </row>
  </sheetData>
  <conditionalFormatting sqref="L17:L130">
    <cfRule type="cellIs" dxfId="3" priority="5" operator="lessThan">
      <formula>$L$3</formula>
    </cfRule>
    <cfRule type="cellIs" dxfId="2" priority="6" operator="greaterThan">
      <formula>$L$3</formula>
    </cfRule>
  </conditionalFormatting>
  <conditionalFormatting sqref="O17:O103">
    <cfRule type="cellIs" dxfId="1" priority="3" operator="lessThan">
      <formula>$O$3</formula>
    </cfRule>
    <cfRule type="cellIs" dxfId="0" priority="4" operator="greaterThan">
      <formula>$O$3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>
      <selection activeCell="E6" sqref="E6"/>
    </sheetView>
  </sheetViews>
  <sheetFormatPr defaultRowHeight="12.75"/>
  <cols>
    <col min="1" max="16384" width="9.3320312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42"/>
  <sheetViews>
    <sheetView topLeftCell="A43" zoomScaleNormal="100" workbookViewId="0">
      <selection activeCell="A85" sqref="A85"/>
    </sheetView>
  </sheetViews>
  <sheetFormatPr defaultRowHeight="12.75"/>
  <cols>
    <col min="1" max="1" width="21.6640625" style="1" customWidth="1"/>
    <col min="2" max="12" width="9.33203125" style="1"/>
    <col min="13" max="13" width="13.6640625" style="1" bestFit="1" customWidth="1"/>
    <col min="14" max="16384" width="9.33203125" style="1"/>
  </cols>
  <sheetData>
    <row r="1" spans="1:13" ht="33.75">
      <c r="A1" s="10" t="s">
        <v>0</v>
      </c>
      <c r="B1" s="11" t="s">
        <v>42</v>
      </c>
      <c r="C1" s="11" t="s">
        <v>43</v>
      </c>
      <c r="D1" s="11" t="s">
        <v>44</v>
      </c>
      <c r="E1" s="11" t="s">
        <v>45</v>
      </c>
      <c r="F1" s="10" t="s">
        <v>46</v>
      </c>
      <c r="G1" s="10" t="s">
        <v>47</v>
      </c>
      <c r="H1" s="10" t="s">
        <v>48</v>
      </c>
      <c r="I1" s="10" t="s">
        <v>49</v>
      </c>
      <c r="J1" s="74" t="s">
        <v>1</v>
      </c>
      <c r="K1" s="74"/>
    </row>
    <row r="2" spans="1:13" ht="15.75">
      <c r="A2" s="2"/>
      <c r="B2" s="2" t="s">
        <v>37</v>
      </c>
      <c r="C2" s="2" t="s">
        <v>37</v>
      </c>
      <c r="D2" s="2" t="s">
        <v>38</v>
      </c>
      <c r="E2" s="2" t="s">
        <v>38</v>
      </c>
      <c r="F2" s="2" t="s">
        <v>38</v>
      </c>
      <c r="G2" s="2" t="s">
        <v>38</v>
      </c>
      <c r="H2" s="2" t="s">
        <v>38</v>
      </c>
      <c r="I2" s="2" t="s">
        <v>38</v>
      </c>
      <c r="J2" s="2" t="s">
        <v>39</v>
      </c>
      <c r="K2" s="2"/>
      <c r="M2" s="1">
        <f>660/390</f>
        <v>1.6923076923076923</v>
      </c>
    </row>
    <row r="3" spans="1:13" ht="15">
      <c r="A3" s="3" t="s">
        <v>2</v>
      </c>
      <c r="B3" s="4">
        <v>550</v>
      </c>
      <c r="C3" s="4">
        <f t="shared" ref="C3:C22" si="0">B3*60/50</f>
        <v>660</v>
      </c>
      <c r="D3" s="4">
        <v>125</v>
      </c>
      <c r="E3" s="5">
        <v>75</v>
      </c>
      <c r="F3" s="3">
        <v>1063</v>
      </c>
      <c r="G3" s="4">
        <v>490</v>
      </c>
      <c r="H3" s="4">
        <v>248</v>
      </c>
      <c r="I3" s="4">
        <v>250</v>
      </c>
      <c r="J3" s="4">
        <v>470</v>
      </c>
      <c r="K3" s="4"/>
    </row>
    <row r="4" spans="1:13" ht="15">
      <c r="A4" s="3" t="s">
        <v>3</v>
      </c>
      <c r="B4" s="4">
        <v>680</v>
      </c>
      <c r="C4" s="4">
        <v>820</v>
      </c>
      <c r="D4" s="4">
        <v>125</v>
      </c>
      <c r="E4" s="5">
        <v>75</v>
      </c>
      <c r="F4" s="3">
        <v>1120</v>
      </c>
      <c r="G4" s="4">
        <v>490</v>
      </c>
      <c r="H4" s="4">
        <v>248</v>
      </c>
      <c r="I4" s="4">
        <v>250</v>
      </c>
      <c r="J4" s="4">
        <v>495</v>
      </c>
      <c r="K4" s="4"/>
    </row>
    <row r="5" spans="1:13" ht="15">
      <c r="A5" s="3" t="s">
        <v>4</v>
      </c>
      <c r="B5" s="4">
        <v>815</v>
      </c>
      <c r="C5" s="4">
        <v>975</v>
      </c>
      <c r="D5" s="4">
        <v>150</v>
      </c>
      <c r="E5" s="4">
        <v>100</v>
      </c>
      <c r="F5" s="3">
        <v>1201</v>
      </c>
      <c r="G5" s="4">
        <v>640</v>
      </c>
      <c r="H5" s="4">
        <v>310</v>
      </c>
      <c r="I5" s="4">
        <v>315</v>
      </c>
      <c r="J5" s="4">
        <v>760</v>
      </c>
      <c r="K5" s="4"/>
    </row>
    <row r="6" spans="1:13" ht="15">
      <c r="A6" s="3" t="s">
        <v>5</v>
      </c>
      <c r="B6" s="4">
        <v>1095</v>
      </c>
      <c r="C6" s="4">
        <v>1315</v>
      </c>
      <c r="D6" s="4">
        <v>200</v>
      </c>
      <c r="E6" s="4">
        <v>125</v>
      </c>
      <c r="F6" s="3">
        <v>1273</v>
      </c>
      <c r="G6" s="4">
        <v>640</v>
      </c>
      <c r="H6" s="4">
        <v>310</v>
      </c>
      <c r="I6" s="4">
        <v>315</v>
      </c>
      <c r="J6" s="4">
        <v>850</v>
      </c>
      <c r="K6" s="4"/>
    </row>
    <row r="7" spans="1:13" ht="15">
      <c r="A7" s="3" t="s">
        <v>6</v>
      </c>
      <c r="B7" s="4">
        <v>1220</v>
      </c>
      <c r="C7" s="4">
        <f t="shared" si="0"/>
        <v>1464</v>
      </c>
      <c r="D7" s="4">
        <v>200</v>
      </c>
      <c r="E7" s="4">
        <v>125</v>
      </c>
      <c r="F7" s="3">
        <v>1314</v>
      </c>
      <c r="G7" s="4">
        <v>640</v>
      </c>
      <c r="H7" s="4">
        <v>310</v>
      </c>
      <c r="I7" s="4">
        <v>315</v>
      </c>
      <c r="J7" s="4">
        <v>887</v>
      </c>
      <c r="K7" s="4"/>
    </row>
    <row r="8" spans="1:13" ht="15">
      <c r="A8" s="3" t="s">
        <v>7</v>
      </c>
      <c r="B8" s="4">
        <v>1340</v>
      </c>
      <c r="C8" s="4">
        <f t="shared" si="0"/>
        <v>1608</v>
      </c>
      <c r="D8" s="4">
        <v>200</v>
      </c>
      <c r="E8" s="4">
        <v>125</v>
      </c>
      <c r="F8" s="3">
        <v>1370</v>
      </c>
      <c r="G8" s="4">
        <v>640</v>
      </c>
      <c r="H8" s="4">
        <v>310</v>
      </c>
      <c r="I8" s="4">
        <v>315</v>
      </c>
      <c r="J8" s="4">
        <v>925</v>
      </c>
      <c r="K8" s="4"/>
    </row>
    <row r="9" spans="1:13" ht="15">
      <c r="A9" s="3" t="s">
        <v>8</v>
      </c>
      <c r="B9" s="4">
        <v>1590</v>
      </c>
      <c r="C9" s="4">
        <f t="shared" si="0"/>
        <v>1908</v>
      </c>
      <c r="D9" s="4">
        <v>200</v>
      </c>
      <c r="E9" s="4">
        <v>150</v>
      </c>
      <c r="F9" s="3">
        <v>1493</v>
      </c>
      <c r="G9" s="4">
        <v>692</v>
      </c>
      <c r="H9" s="4">
        <v>349</v>
      </c>
      <c r="I9" s="4">
        <v>362</v>
      </c>
      <c r="J9" s="4">
        <v>1200</v>
      </c>
      <c r="K9" s="4"/>
    </row>
    <row r="10" spans="1:13" ht="15">
      <c r="A10" s="3" t="s">
        <v>9</v>
      </c>
      <c r="B10" s="4">
        <v>1755</v>
      </c>
      <c r="C10" s="4">
        <f t="shared" si="0"/>
        <v>2106</v>
      </c>
      <c r="D10" s="4">
        <v>200</v>
      </c>
      <c r="E10" s="4">
        <v>150</v>
      </c>
      <c r="F10" s="3">
        <v>1544</v>
      </c>
      <c r="G10" s="4">
        <v>692</v>
      </c>
      <c r="H10" s="4">
        <v>349</v>
      </c>
      <c r="I10" s="4">
        <v>362</v>
      </c>
      <c r="J10" s="4">
        <v>1270</v>
      </c>
      <c r="K10" s="4"/>
    </row>
    <row r="11" spans="1:13" ht="15">
      <c r="A11" s="3" t="s">
        <v>10</v>
      </c>
      <c r="B11" s="4">
        <v>2150</v>
      </c>
      <c r="C11" s="4">
        <f t="shared" si="0"/>
        <v>2580</v>
      </c>
      <c r="D11" s="4">
        <v>255</v>
      </c>
      <c r="E11" s="4">
        <v>200</v>
      </c>
      <c r="F11" s="3">
        <v>1583</v>
      </c>
      <c r="G11" s="4">
        <v>692</v>
      </c>
      <c r="H11" s="4">
        <v>349</v>
      </c>
      <c r="I11" s="4">
        <v>362</v>
      </c>
      <c r="J11" s="4">
        <v>1325</v>
      </c>
      <c r="K11" s="4"/>
    </row>
    <row r="12" spans="1:13" ht="15">
      <c r="A12" s="3" t="s">
        <v>11</v>
      </c>
      <c r="B12" s="4">
        <v>2395</v>
      </c>
      <c r="C12" s="4">
        <f t="shared" si="0"/>
        <v>2874</v>
      </c>
      <c r="D12" s="4">
        <v>255</v>
      </c>
      <c r="E12" s="4">
        <v>200</v>
      </c>
      <c r="F12" s="3">
        <v>1633</v>
      </c>
      <c r="G12" s="4">
        <v>692</v>
      </c>
      <c r="H12" s="4">
        <v>349</v>
      </c>
      <c r="I12" s="4">
        <v>362</v>
      </c>
      <c r="J12" s="4">
        <v>1422</v>
      </c>
      <c r="K12" s="4"/>
    </row>
    <row r="13" spans="1:13" ht="15">
      <c r="A13" s="3" t="s">
        <v>12</v>
      </c>
      <c r="B13" s="4">
        <v>2630</v>
      </c>
      <c r="C13" s="4">
        <f t="shared" si="0"/>
        <v>3156</v>
      </c>
      <c r="D13" s="4">
        <v>255</v>
      </c>
      <c r="E13" s="4">
        <v>200</v>
      </c>
      <c r="F13" s="3">
        <v>1705</v>
      </c>
      <c r="G13" s="4">
        <v>692</v>
      </c>
      <c r="H13" s="4">
        <v>349</v>
      </c>
      <c r="I13" s="4">
        <v>362</v>
      </c>
      <c r="J13" s="4">
        <v>1540</v>
      </c>
      <c r="K13" s="4"/>
    </row>
    <row r="14" spans="1:13" ht="15" customHeight="1">
      <c r="A14" s="3" t="s">
        <v>13</v>
      </c>
      <c r="B14" s="4">
        <v>3190</v>
      </c>
      <c r="C14" s="4">
        <f t="shared" si="0"/>
        <v>3828</v>
      </c>
      <c r="D14" s="4">
        <v>255</v>
      </c>
      <c r="E14" s="4">
        <v>200</v>
      </c>
      <c r="F14" s="3">
        <v>1815</v>
      </c>
      <c r="G14" s="4">
        <v>692</v>
      </c>
      <c r="H14" s="4">
        <v>349</v>
      </c>
      <c r="I14" s="4">
        <v>362</v>
      </c>
      <c r="J14" s="4">
        <v>1650</v>
      </c>
      <c r="K14" s="4"/>
    </row>
    <row r="15" spans="1:13" ht="15">
      <c r="A15" s="3" t="s">
        <v>14</v>
      </c>
      <c r="B15" s="4">
        <v>3830</v>
      </c>
      <c r="C15" s="4">
        <f t="shared" si="0"/>
        <v>4596</v>
      </c>
      <c r="D15" s="4">
        <v>255</v>
      </c>
      <c r="E15" s="4">
        <v>200</v>
      </c>
      <c r="F15" s="3">
        <v>2005</v>
      </c>
      <c r="G15" s="4">
        <v>940</v>
      </c>
      <c r="H15" s="4">
        <v>471</v>
      </c>
      <c r="I15" s="4">
        <v>500</v>
      </c>
      <c r="J15" s="4">
        <v>2925</v>
      </c>
      <c r="K15" s="4"/>
    </row>
    <row r="16" spans="1:13" ht="15">
      <c r="A16" s="3" t="s">
        <v>15</v>
      </c>
      <c r="B16" s="4">
        <v>4790</v>
      </c>
      <c r="C16" s="4">
        <f t="shared" si="0"/>
        <v>5748</v>
      </c>
      <c r="D16" s="4">
        <v>300</v>
      </c>
      <c r="E16" s="4">
        <v>255</v>
      </c>
      <c r="F16" s="3">
        <v>2110</v>
      </c>
      <c r="G16" s="4">
        <v>940</v>
      </c>
      <c r="H16" s="4">
        <v>471</v>
      </c>
      <c r="I16" s="4">
        <v>500</v>
      </c>
      <c r="J16" s="4">
        <v>3150</v>
      </c>
      <c r="K16" s="4"/>
    </row>
    <row r="17" spans="1:12" ht="15" customHeight="1">
      <c r="A17" s="3" t="s">
        <v>16</v>
      </c>
      <c r="B17" s="4">
        <v>5260</v>
      </c>
      <c r="C17" s="4">
        <f t="shared" si="0"/>
        <v>6312</v>
      </c>
      <c r="D17" s="4">
        <v>300</v>
      </c>
      <c r="E17" s="4">
        <v>255</v>
      </c>
      <c r="F17" s="3">
        <v>2200</v>
      </c>
      <c r="G17" s="4">
        <v>940</v>
      </c>
      <c r="H17" s="4">
        <v>471</v>
      </c>
      <c r="I17" s="4">
        <v>500</v>
      </c>
      <c r="J17" s="4">
        <v>3260</v>
      </c>
      <c r="K17" s="4"/>
    </row>
    <row r="18" spans="1:12" ht="15" customHeight="1">
      <c r="A18" s="3" t="s">
        <v>17</v>
      </c>
      <c r="B18" s="4">
        <v>6385</v>
      </c>
      <c r="C18" s="4">
        <f t="shared" si="0"/>
        <v>7662</v>
      </c>
      <c r="D18" s="4">
        <v>350</v>
      </c>
      <c r="E18" s="4">
        <v>300</v>
      </c>
      <c r="F18" s="3">
        <v>2345</v>
      </c>
      <c r="G18" s="4">
        <v>940</v>
      </c>
      <c r="H18" s="4">
        <v>471</v>
      </c>
      <c r="I18" s="4">
        <v>500</v>
      </c>
      <c r="J18" s="4">
        <v>3500</v>
      </c>
      <c r="K18" s="4"/>
    </row>
    <row r="19" spans="1:12" ht="15" customHeight="1">
      <c r="A19" s="3" t="s">
        <v>18</v>
      </c>
      <c r="B19" s="4">
        <v>6771</v>
      </c>
      <c r="C19" s="4">
        <f t="shared" si="0"/>
        <v>8125.2</v>
      </c>
      <c r="D19" s="4">
        <v>350</v>
      </c>
      <c r="E19" s="4">
        <v>300</v>
      </c>
      <c r="F19" s="3">
        <v>2418</v>
      </c>
      <c r="G19" s="4">
        <v>1125</v>
      </c>
      <c r="H19" s="4">
        <v>565</v>
      </c>
      <c r="I19" s="4">
        <v>590</v>
      </c>
      <c r="J19" s="4">
        <v>5500</v>
      </c>
      <c r="K19" s="4"/>
    </row>
    <row r="20" spans="1:12" ht="15">
      <c r="A20" s="3" t="s">
        <v>19</v>
      </c>
      <c r="B20" s="4">
        <v>7920</v>
      </c>
      <c r="C20" s="4">
        <f t="shared" si="0"/>
        <v>9504</v>
      </c>
      <c r="D20" s="4">
        <v>350</v>
      </c>
      <c r="E20" s="4">
        <v>300</v>
      </c>
      <c r="F20" s="3">
        <v>2520</v>
      </c>
      <c r="G20" s="4">
        <v>1125</v>
      </c>
      <c r="H20" s="4">
        <v>565</v>
      </c>
      <c r="I20" s="4">
        <v>590</v>
      </c>
      <c r="J20" s="4">
        <v>6100</v>
      </c>
      <c r="K20" s="4"/>
    </row>
    <row r="21" spans="1:12" ht="15">
      <c r="A21" s="3" t="s">
        <v>20</v>
      </c>
      <c r="B21" s="4">
        <v>7660</v>
      </c>
      <c r="C21" s="4">
        <f t="shared" si="0"/>
        <v>9192</v>
      </c>
      <c r="D21" s="4">
        <v>350</v>
      </c>
      <c r="E21" s="4">
        <v>255</v>
      </c>
      <c r="F21" s="3">
        <v>2920</v>
      </c>
      <c r="G21" s="4">
        <v>1560</v>
      </c>
      <c r="H21" s="4">
        <v>750</v>
      </c>
      <c r="I21" s="4">
        <v>750</v>
      </c>
      <c r="J21" s="4">
        <v>10800</v>
      </c>
      <c r="K21" s="4"/>
    </row>
    <row r="22" spans="1:12" ht="15">
      <c r="A22" s="3" t="s">
        <v>21</v>
      </c>
      <c r="B22" s="4">
        <v>9575</v>
      </c>
      <c r="C22" s="4">
        <f t="shared" si="0"/>
        <v>11490</v>
      </c>
      <c r="D22" s="4">
        <v>400</v>
      </c>
      <c r="E22" s="4">
        <v>300</v>
      </c>
      <c r="F22" s="3">
        <v>3090</v>
      </c>
      <c r="G22" s="4">
        <v>1560</v>
      </c>
      <c r="H22" s="4">
        <v>750</v>
      </c>
      <c r="I22" s="4">
        <v>750</v>
      </c>
      <c r="J22" s="4">
        <v>11500</v>
      </c>
      <c r="K22" s="4"/>
    </row>
    <row r="23" spans="1:12" ht="15">
      <c r="A23" s="3" t="s">
        <v>22</v>
      </c>
      <c r="B23" s="4">
        <v>10510</v>
      </c>
      <c r="C23" s="4">
        <f>B23*60/50</f>
        <v>12612</v>
      </c>
      <c r="D23" s="4">
        <v>400</v>
      </c>
      <c r="E23" s="4">
        <v>300</v>
      </c>
      <c r="F23" s="3">
        <v>3233</v>
      </c>
      <c r="G23" s="4">
        <v>1560</v>
      </c>
      <c r="H23" s="4">
        <v>750</v>
      </c>
      <c r="I23" s="4">
        <v>750</v>
      </c>
      <c r="J23" s="4">
        <v>11800</v>
      </c>
      <c r="K23" s="4"/>
    </row>
    <row r="24" spans="1:12" ht="15.75">
      <c r="E24" s="7"/>
      <c r="F24" s="7"/>
      <c r="G24" s="7"/>
      <c r="H24" s="7"/>
      <c r="I24" s="7"/>
      <c r="J24" s="7"/>
      <c r="K24" s="7"/>
    </row>
    <row r="25" spans="1:12" ht="15.75">
      <c r="A25" s="8" t="s">
        <v>41</v>
      </c>
      <c r="B25" s="8"/>
      <c r="C25" s="8"/>
      <c r="D25" s="8"/>
      <c r="E25" s="8"/>
      <c r="F25" s="8"/>
      <c r="G25" s="8"/>
      <c r="H25" s="8"/>
      <c r="I25" s="8"/>
      <c r="J25" s="8"/>
    </row>
    <row r="26" spans="1:12" ht="15">
      <c r="A26" s="3" t="s">
        <v>26</v>
      </c>
      <c r="B26" s="3">
        <v>293</v>
      </c>
      <c r="C26" s="3">
        <v>352</v>
      </c>
      <c r="D26" s="3">
        <v>100</v>
      </c>
      <c r="E26" s="3">
        <v>50</v>
      </c>
      <c r="F26" s="3">
        <v>850</v>
      </c>
      <c r="G26" s="3">
        <v>390</v>
      </c>
      <c r="H26" s="3">
        <v>299</v>
      </c>
      <c r="I26" s="3">
        <v>201</v>
      </c>
      <c r="J26" s="3">
        <v>250</v>
      </c>
    </row>
    <row r="27" spans="1:12" ht="15">
      <c r="A27" s="3" t="s">
        <v>27</v>
      </c>
      <c r="B27" s="3">
        <v>397</v>
      </c>
      <c r="C27" s="3">
        <v>476</v>
      </c>
      <c r="D27" s="3">
        <v>100</v>
      </c>
      <c r="E27" s="3">
        <v>50</v>
      </c>
      <c r="F27" s="3">
        <v>900</v>
      </c>
      <c r="G27" s="3">
        <v>390</v>
      </c>
      <c r="H27" s="3">
        <v>209</v>
      </c>
      <c r="I27" s="3">
        <v>291</v>
      </c>
      <c r="J27" s="3">
        <v>250</v>
      </c>
    </row>
    <row r="28" spans="1:12" ht="15">
      <c r="A28" s="3" t="s">
        <v>28</v>
      </c>
      <c r="B28" s="3">
        <v>489</v>
      </c>
      <c r="C28" s="3">
        <v>586</v>
      </c>
      <c r="D28" s="3">
        <v>100</v>
      </c>
      <c r="E28" s="3">
        <v>50</v>
      </c>
      <c r="F28" s="3">
        <v>900</v>
      </c>
      <c r="G28" s="3">
        <v>390</v>
      </c>
      <c r="H28" s="3">
        <v>209</v>
      </c>
      <c r="I28" s="3">
        <v>291</v>
      </c>
      <c r="J28" s="3">
        <v>250</v>
      </c>
    </row>
    <row r="29" spans="1:12" ht="15">
      <c r="A29" s="3" t="s">
        <v>29</v>
      </c>
      <c r="B29" s="3">
        <v>576</v>
      </c>
      <c r="C29" s="3" t="s">
        <v>30</v>
      </c>
      <c r="D29" s="3">
        <v>100</v>
      </c>
      <c r="E29" s="3">
        <v>50</v>
      </c>
      <c r="F29" s="3">
        <v>900</v>
      </c>
      <c r="G29" s="3">
        <v>390</v>
      </c>
      <c r="H29" s="3">
        <v>209</v>
      </c>
      <c r="I29" s="3">
        <v>291</v>
      </c>
      <c r="J29" s="3">
        <v>250</v>
      </c>
    </row>
    <row r="30" spans="1:12" ht="15.75">
      <c r="A30" s="8" t="s">
        <v>25</v>
      </c>
      <c r="B30" s="8"/>
      <c r="C30" s="8"/>
      <c r="D30" s="8"/>
      <c r="E30" s="8"/>
      <c r="F30" s="8"/>
      <c r="G30" s="8"/>
      <c r="H30" s="8"/>
      <c r="I30" s="8"/>
      <c r="J30" s="8"/>
      <c r="K30" s="9"/>
      <c r="L30" s="9"/>
    </row>
    <row r="31" spans="1:12" ht="15">
      <c r="A31" s="3" t="s">
        <v>31</v>
      </c>
      <c r="B31" s="3">
        <v>593</v>
      </c>
      <c r="C31" s="3">
        <v>712</v>
      </c>
      <c r="D31" s="3">
        <v>125</v>
      </c>
      <c r="E31" s="3">
        <v>76</v>
      </c>
      <c r="F31" s="3">
        <v>1070</v>
      </c>
      <c r="G31" s="3">
        <v>430</v>
      </c>
      <c r="H31" s="3">
        <v>200</v>
      </c>
      <c r="I31" s="3">
        <v>250</v>
      </c>
      <c r="J31" s="3">
        <v>364</v>
      </c>
    </row>
    <row r="32" spans="1:12" ht="15">
      <c r="A32" s="3" t="s">
        <v>32</v>
      </c>
      <c r="B32" s="3">
        <v>710</v>
      </c>
      <c r="C32" s="3">
        <v>852</v>
      </c>
      <c r="D32" s="3">
        <v>125</v>
      </c>
      <c r="E32" s="3">
        <v>76</v>
      </c>
      <c r="F32" s="3">
        <v>1116</v>
      </c>
      <c r="G32" s="3">
        <v>430</v>
      </c>
      <c r="H32" s="3">
        <v>200</v>
      </c>
      <c r="I32" s="3">
        <v>250</v>
      </c>
      <c r="J32" s="3">
        <v>388</v>
      </c>
    </row>
    <row r="33" spans="1:10" ht="15">
      <c r="A33" s="3" t="s">
        <v>33</v>
      </c>
      <c r="B33" s="3">
        <v>812</v>
      </c>
      <c r="C33" s="3">
        <v>974</v>
      </c>
      <c r="D33" s="3">
        <v>150</v>
      </c>
      <c r="E33" s="3">
        <v>100</v>
      </c>
      <c r="F33" s="3">
        <v>1178</v>
      </c>
      <c r="G33" s="3">
        <v>516</v>
      </c>
      <c r="H33" s="3">
        <v>240</v>
      </c>
      <c r="I33" s="3">
        <v>305</v>
      </c>
      <c r="J33" s="3">
        <v>636</v>
      </c>
    </row>
    <row r="34" spans="1:10" ht="15">
      <c r="A34" s="3" t="s">
        <v>34</v>
      </c>
      <c r="B34" s="3">
        <v>1070</v>
      </c>
      <c r="C34" s="3">
        <v>1284</v>
      </c>
      <c r="D34" s="3">
        <v>150</v>
      </c>
      <c r="E34" s="3">
        <v>100</v>
      </c>
      <c r="F34" s="3">
        <v>1249</v>
      </c>
      <c r="G34" s="3">
        <v>516</v>
      </c>
      <c r="H34" s="3">
        <v>240</v>
      </c>
      <c r="I34" s="3">
        <v>305</v>
      </c>
      <c r="J34" s="3">
        <v>660</v>
      </c>
    </row>
    <row r="35" spans="1:10" ht="15">
      <c r="A35" s="3" t="s">
        <v>35</v>
      </c>
      <c r="B35" s="3">
        <v>1219</v>
      </c>
      <c r="C35" s="3">
        <v>1463</v>
      </c>
      <c r="D35" s="3">
        <v>150</v>
      </c>
      <c r="E35" s="3">
        <v>100</v>
      </c>
      <c r="F35" s="3">
        <v>1255</v>
      </c>
      <c r="G35" s="3">
        <v>516</v>
      </c>
      <c r="H35" s="3">
        <v>240</v>
      </c>
      <c r="I35" s="3">
        <v>305</v>
      </c>
      <c r="J35" s="3">
        <v>690</v>
      </c>
    </row>
    <row r="36" spans="1:10" ht="15">
      <c r="A36" s="3" t="s">
        <v>36</v>
      </c>
      <c r="B36" s="3">
        <v>1348</v>
      </c>
      <c r="C36" s="3">
        <v>1618</v>
      </c>
      <c r="D36" s="3">
        <v>150</v>
      </c>
      <c r="E36" s="3">
        <v>100</v>
      </c>
      <c r="F36" s="3">
        <v>1312</v>
      </c>
      <c r="G36" s="3">
        <v>516</v>
      </c>
      <c r="H36" s="3">
        <v>240</v>
      </c>
      <c r="I36" s="3">
        <v>305</v>
      </c>
      <c r="J36" s="3">
        <v>736</v>
      </c>
    </row>
    <row r="37" spans="1:10" ht="1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1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15.75">
      <c r="A39" s="6" t="s">
        <v>23</v>
      </c>
      <c r="B39" s="7"/>
      <c r="C39" s="7"/>
      <c r="D39" s="7"/>
    </row>
    <row r="40" spans="1:10" ht="15.75">
      <c r="A40" s="6" t="s">
        <v>24</v>
      </c>
      <c r="B40" s="7"/>
      <c r="C40" s="7"/>
      <c r="D40" s="7"/>
    </row>
    <row r="42" spans="1:10" ht="15.75">
      <c r="A42" s="6" t="s">
        <v>40</v>
      </c>
    </row>
  </sheetData>
  <mergeCells count="1">
    <mergeCell ref="J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I29:T93"/>
  <sheetViews>
    <sheetView topLeftCell="A82" zoomScale="130" zoomScaleNormal="130" workbookViewId="0">
      <selection activeCell="I111" sqref="I111"/>
    </sheetView>
  </sheetViews>
  <sheetFormatPr defaultRowHeight="12.75"/>
  <cols>
    <col min="1" max="2" width="9.33203125" style="1"/>
    <col min="3" max="3" width="12.33203125" style="1" customWidth="1"/>
    <col min="4" max="4" width="11" style="1" bestFit="1" customWidth="1"/>
    <col min="5" max="5" width="16.83203125" style="1" bestFit="1" customWidth="1"/>
    <col min="6" max="6" width="12.6640625" style="1" customWidth="1"/>
    <col min="7" max="16384" width="9.33203125" style="1"/>
  </cols>
  <sheetData>
    <row r="29" ht="12.75" customHeight="1"/>
    <row r="70" spans="19:20">
      <c r="S70" s="16" t="s">
        <v>50</v>
      </c>
      <c r="T70" s="16">
        <v>2.63</v>
      </c>
    </row>
    <row r="71" spans="19:20">
      <c r="S71" s="16" t="s">
        <v>51</v>
      </c>
      <c r="T71" s="16">
        <v>3.65</v>
      </c>
    </row>
    <row r="72" spans="19:20">
      <c r="S72" s="16" t="s">
        <v>52</v>
      </c>
      <c r="T72" s="16">
        <v>5.8</v>
      </c>
    </row>
    <row r="93" spans="9:9">
      <c r="I9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R48"/>
  <sheetViews>
    <sheetView zoomScaleNormal="100" workbookViewId="0">
      <selection activeCell="B5" sqref="B5"/>
    </sheetView>
  </sheetViews>
  <sheetFormatPr defaultColWidth="13.33203125" defaultRowHeight="15"/>
  <cols>
    <col min="1" max="1" width="15.5" style="103" bestFit="1" customWidth="1"/>
    <col min="2" max="13" width="13.33203125" style="104"/>
    <col min="14" max="14" width="14.6640625" style="104" customWidth="1"/>
    <col min="15" max="16" width="13.33203125" style="104"/>
    <col min="17" max="17" width="17.5" style="104" bestFit="1" customWidth="1"/>
    <col min="18" max="16384" width="13.33203125" style="104"/>
  </cols>
  <sheetData>
    <row r="1" spans="1:18">
      <c r="K1" s="104" t="s">
        <v>212</v>
      </c>
      <c r="L1" s="104" t="s">
        <v>213</v>
      </c>
      <c r="M1" s="104" t="s">
        <v>214</v>
      </c>
      <c r="N1" s="104" t="s">
        <v>215</v>
      </c>
      <c r="O1" s="104" t="s">
        <v>216</v>
      </c>
      <c r="Q1" s="104" t="s">
        <v>217</v>
      </c>
      <c r="R1" s="104" t="s">
        <v>218</v>
      </c>
    </row>
    <row r="2" spans="1:18">
      <c r="F2" s="104">
        <f>F4</f>
        <v>1.05</v>
      </c>
      <c r="G2" s="104">
        <v>2.37</v>
      </c>
      <c r="J2" s="104" t="str">
        <f>[1]ExergySLAC!A16</f>
        <v>MP/HP</v>
      </c>
      <c r="K2" s="103">
        <f>[1]ExergySLAC!D16</f>
        <v>6.06</v>
      </c>
      <c r="L2" s="104">
        <f>[1]ExergySLAC!E16</f>
        <v>19</v>
      </c>
      <c r="M2" s="105">
        <f>L2/K2</f>
        <v>3.1353135313531357</v>
      </c>
      <c r="N2" s="106">
        <f xml:space="preserve"> 0.0012*M2^6 - 0.0429*M2^5 + 0.6099*M2^4 - 4.185*M2^3 + 13.77*M2^2 - 19.318*M2 + 60.184</f>
        <v>53.071570809579342</v>
      </c>
      <c r="O2" s="106">
        <f xml:space="preserve"> 0.00006*M2^6 - 0.0012*M2^5 - 0.0081*M2^4 + 0.3679*M2^3 - 3.3791*M2^2 + 11.852*M2 + 64.85</f>
        <v>79.042186730743012</v>
      </c>
      <c r="Q2" s="107">
        <f>N2</f>
        <v>53.071570809579342</v>
      </c>
      <c r="R2" s="107">
        <f>O2</f>
        <v>79.042186730743012</v>
      </c>
    </row>
    <row r="3" spans="1:18">
      <c r="B3" s="104">
        <f>13.92+24.23+12.63+7.26</f>
        <v>58.04</v>
      </c>
      <c r="G3" s="103">
        <f>G2/F2</f>
        <v>2.2571428571428571</v>
      </c>
      <c r="J3" s="104" t="str">
        <f>[1]ExergySLAC!A17</f>
        <v>LPR/MP</v>
      </c>
      <c r="K3" s="104">
        <f>[1]ExergySLAC!D17</f>
        <v>2.3079999999999998</v>
      </c>
      <c r="L3" s="104">
        <f>[1]ExergySLAC!E17</f>
        <v>6.06</v>
      </c>
      <c r="M3" s="105">
        <f t="shared" ref="M3:M4" si="0">L3/K3</f>
        <v>2.6256499133448874</v>
      </c>
      <c r="N3" s="106">
        <f xml:space="preserve"> 0.1067*M3^6 - 2.0738*M3^5 + 16*M3^4 - 61.153*M3^3 + 115.21*M3^2 - 86.125*M3 + 57.983</f>
        <v>55.773482098098548</v>
      </c>
      <c r="O3" s="106">
        <f xml:space="preserve"> 0.0044*M3^6 - 0.1103*M3^5 + 1.0778*M3^4 - 5.3213*M3^3 + 13.394*M3^2 - 15.328*M3 + 92.846</f>
        <v>87.51880831297521</v>
      </c>
      <c r="Q3" s="107">
        <f t="shared" ref="Q3:R4" si="1">N3</f>
        <v>55.773482098098548</v>
      </c>
      <c r="R3" s="107">
        <f t="shared" si="1"/>
        <v>87.51880831297521</v>
      </c>
    </row>
    <row r="4" spans="1:18">
      <c r="E4" s="104" t="s">
        <v>219</v>
      </c>
      <c r="F4" s="104">
        <v>1.05</v>
      </c>
      <c r="G4" s="108">
        <f>K2</f>
        <v>6.06</v>
      </c>
      <c r="H4" s="108">
        <f>L2</f>
        <v>19</v>
      </c>
      <c r="J4" s="104" t="str">
        <f>[1]ExergySLAC!A18</f>
        <v>LPL/MP</v>
      </c>
      <c r="K4" s="104">
        <f>[1]ExergySLAC!D18</f>
        <v>1.05</v>
      </c>
      <c r="L4" s="104">
        <f>[1]ExergySLAC!E18</f>
        <v>6.06</v>
      </c>
      <c r="M4" s="105">
        <f t="shared" si="0"/>
        <v>5.7714285714285705</v>
      </c>
      <c r="N4" s="106">
        <f>-0.0037608*M4^6 + 0.14564*M4^5 - 2.2783*M4^4 + 18.388*M4^3 - 80.719*M4^2 + 181.68*M4 - 111.99</f>
        <v>48.628787444824425</v>
      </c>
      <c r="O4" s="106">
        <f>0.0003*M4^6 - 0.0107*M4^5 + 0.1444*M4^4 - 0.8896*M4^3 + 2.1316*M4^2 - 0.4678*M4 + 84.351</f>
        <v>84.418132560750152</v>
      </c>
      <c r="Q4" s="107">
        <f t="shared" si="1"/>
        <v>48.628787444824425</v>
      </c>
      <c r="R4" s="107">
        <f>O4</f>
        <v>84.418132560750152</v>
      </c>
    </row>
    <row r="5" spans="1:18">
      <c r="A5" s="103">
        <v>2.5499999999999998</v>
      </c>
      <c r="B5" s="104">
        <f>extrapol_(A5,IsoT_ratio,IsoT_LPL_MP)</f>
        <v>49.730000000000004</v>
      </c>
      <c r="C5" s="104">
        <f>extrapol_(A5,A9:A26,C9:C26)</f>
        <v>55.73</v>
      </c>
      <c r="D5" s="104">
        <f>extrapol_(A5,A9:A26,C9:C26)</f>
        <v>55.73</v>
      </c>
      <c r="G5" s="103">
        <f>G4/F4</f>
        <v>5.7714285714285705</v>
      </c>
      <c r="H5" s="103">
        <f>H4/G4</f>
        <v>3.1353135313531357</v>
      </c>
      <c r="Q5" s="109"/>
      <c r="R5" s="109"/>
    </row>
    <row r="7" spans="1:18">
      <c r="A7" s="110"/>
      <c r="B7" s="111" t="s">
        <v>220</v>
      </c>
      <c r="C7" s="111"/>
      <c r="D7" s="111"/>
    </row>
    <row r="8" spans="1:18">
      <c r="A8" s="110" t="s">
        <v>221</v>
      </c>
      <c r="B8" s="112" t="s">
        <v>222</v>
      </c>
      <c r="C8" s="113" t="s">
        <v>223</v>
      </c>
      <c r="D8" s="114" t="s">
        <v>224</v>
      </c>
    </row>
    <row r="9" spans="1:18">
      <c r="A9" s="110">
        <v>1.5</v>
      </c>
      <c r="B9" s="115">
        <v>30.4</v>
      </c>
      <c r="C9" s="116">
        <v>48.1</v>
      </c>
      <c r="D9" s="117"/>
    </row>
    <row r="10" spans="1:18">
      <c r="A10" s="110">
        <f>A9+0.5</f>
        <v>2</v>
      </c>
      <c r="B10" s="115">
        <v>43.7</v>
      </c>
      <c r="C10" s="116">
        <v>53.8</v>
      </c>
      <c r="D10" s="117"/>
    </row>
    <row r="11" spans="1:18">
      <c r="A11" s="110">
        <v>2.5</v>
      </c>
      <c r="B11" s="115">
        <v>49.6</v>
      </c>
      <c r="C11" s="116">
        <v>55.8</v>
      </c>
      <c r="D11" s="118">
        <v>52.5</v>
      </c>
    </row>
    <row r="12" spans="1:18">
      <c r="A12" s="110">
        <f>A11+0.5</f>
        <v>3</v>
      </c>
      <c r="B12" s="115">
        <v>50.9</v>
      </c>
      <c r="C12" s="116">
        <v>55.1</v>
      </c>
      <c r="D12" s="118">
        <v>52.9</v>
      </c>
    </row>
    <row r="13" spans="1:18">
      <c r="A13" s="110">
        <v>3.5</v>
      </c>
      <c r="B13" s="115">
        <v>50.8</v>
      </c>
      <c r="C13" s="116">
        <v>53.9</v>
      </c>
      <c r="D13" s="118">
        <v>53</v>
      </c>
    </row>
    <row r="14" spans="1:18">
      <c r="A14" s="110">
        <f>A13+0.5</f>
        <v>4</v>
      </c>
      <c r="B14" s="115">
        <v>50.6</v>
      </c>
      <c r="C14" s="116">
        <v>52.3</v>
      </c>
      <c r="D14" s="118">
        <v>52.4</v>
      </c>
    </row>
    <row r="15" spans="1:18">
      <c r="A15" s="110">
        <v>4.5</v>
      </c>
      <c r="B15" s="115">
        <v>50.2</v>
      </c>
      <c r="C15" s="116">
        <v>50.8</v>
      </c>
      <c r="D15" s="118">
        <v>51.3</v>
      </c>
    </row>
    <row r="16" spans="1:18">
      <c r="A16" s="110">
        <f>A15+0.5</f>
        <v>5</v>
      </c>
      <c r="B16" s="115">
        <v>49.6</v>
      </c>
      <c r="C16" s="116">
        <v>49.4</v>
      </c>
      <c r="D16" s="118">
        <v>50.1</v>
      </c>
    </row>
    <row r="17" spans="1:9">
      <c r="A17" s="110">
        <v>5.5</v>
      </c>
      <c r="B17" s="115">
        <v>49</v>
      </c>
      <c r="C17" s="119"/>
      <c r="D17" s="118">
        <v>48.7</v>
      </c>
    </row>
    <row r="18" spans="1:9">
      <c r="A18" s="110">
        <f>A17+0.5</f>
        <v>6</v>
      </c>
      <c r="B18" s="115">
        <v>48.3</v>
      </c>
      <c r="C18" s="119"/>
      <c r="D18" s="118">
        <v>47.4</v>
      </c>
    </row>
    <row r="19" spans="1:9">
      <c r="A19" s="110">
        <v>6.5</v>
      </c>
      <c r="B19" s="115">
        <v>47.5</v>
      </c>
      <c r="C19" s="119"/>
      <c r="D19" s="118">
        <v>46.2</v>
      </c>
    </row>
    <row r="20" spans="1:9">
      <c r="A20" s="110">
        <f>A19+0.5</f>
        <v>7</v>
      </c>
      <c r="B20" s="115">
        <v>46.7</v>
      </c>
      <c r="C20" s="119"/>
      <c r="D20" s="118">
        <v>45.4</v>
      </c>
    </row>
    <row r="21" spans="1:9">
      <c r="A21" s="110">
        <v>7.5</v>
      </c>
      <c r="B21" s="115">
        <v>45.8</v>
      </c>
      <c r="C21" s="119"/>
      <c r="D21" s="118">
        <v>44.5</v>
      </c>
    </row>
    <row r="22" spans="1:9">
      <c r="A22" s="110">
        <f>A21+0.5</f>
        <v>8</v>
      </c>
      <c r="B22" s="115">
        <v>45</v>
      </c>
      <c r="C22" s="119"/>
      <c r="D22" s="118">
        <v>43.7</v>
      </c>
    </row>
    <row r="23" spans="1:9">
      <c r="A23" s="110">
        <v>8.5</v>
      </c>
      <c r="B23" s="115">
        <v>44.1</v>
      </c>
      <c r="C23" s="119"/>
      <c r="D23" s="118">
        <v>42.9</v>
      </c>
    </row>
    <row r="24" spans="1:9">
      <c r="A24" s="110">
        <f>A23+0.5</f>
        <v>9</v>
      </c>
      <c r="B24" s="115">
        <v>43.2</v>
      </c>
      <c r="C24" s="119"/>
      <c r="D24" s="118">
        <v>42.2</v>
      </c>
    </row>
    <row r="25" spans="1:9">
      <c r="A25" s="110">
        <v>9.5</v>
      </c>
      <c r="B25" s="115">
        <v>42.4</v>
      </c>
      <c r="C25" s="119"/>
      <c r="D25" s="118">
        <v>41.5</v>
      </c>
    </row>
    <row r="26" spans="1:9">
      <c r="A26" s="110">
        <f>A25+0.5</f>
        <v>10</v>
      </c>
      <c r="B26" s="115">
        <v>41.5</v>
      </c>
      <c r="C26" s="119"/>
      <c r="D26" s="118">
        <v>40.9</v>
      </c>
    </row>
    <row r="29" spans="1:9">
      <c r="A29" s="110"/>
      <c r="B29" s="111" t="s">
        <v>225</v>
      </c>
      <c r="C29" s="111"/>
      <c r="D29" s="111"/>
    </row>
    <row r="30" spans="1:9">
      <c r="A30" s="110" t="s">
        <v>221</v>
      </c>
      <c r="B30" s="112" t="s">
        <v>222</v>
      </c>
      <c r="C30" s="113" t="s">
        <v>223</v>
      </c>
      <c r="D30" s="114" t="s">
        <v>224</v>
      </c>
    </row>
    <row r="31" spans="1:9">
      <c r="A31" s="110">
        <v>1.5</v>
      </c>
      <c r="B31" s="112">
        <v>86.1</v>
      </c>
      <c r="C31" s="113">
        <v>86.7</v>
      </c>
      <c r="D31" s="120"/>
    </row>
    <row r="32" spans="1:9">
      <c r="A32" s="110">
        <f>A31+0.5</f>
        <v>2</v>
      </c>
      <c r="B32" s="112">
        <v>86.8</v>
      </c>
      <c r="C32" s="113">
        <v>87.2</v>
      </c>
      <c r="D32" s="120"/>
      <c r="I32" s="121"/>
    </row>
    <row r="33" spans="1:4">
      <c r="A33" s="110">
        <v>2.5</v>
      </c>
      <c r="B33" s="112">
        <v>87.3</v>
      </c>
      <c r="C33" s="113">
        <v>87.5</v>
      </c>
      <c r="D33" s="114">
        <v>78.7</v>
      </c>
    </row>
    <row r="34" spans="1:4">
      <c r="A34" s="110">
        <f>A33+0.5</f>
        <v>3</v>
      </c>
      <c r="B34" s="112">
        <v>87.4</v>
      </c>
      <c r="C34" s="113">
        <v>87.5</v>
      </c>
      <c r="D34" s="114">
        <v>79</v>
      </c>
    </row>
    <row r="35" spans="1:4">
      <c r="A35" s="110">
        <v>3.5</v>
      </c>
      <c r="B35" s="112">
        <v>87.3</v>
      </c>
      <c r="C35" s="113">
        <v>87.1</v>
      </c>
      <c r="D35" s="114">
        <v>79</v>
      </c>
    </row>
    <row r="36" spans="1:4">
      <c r="A36" s="110">
        <f>A35+0.5</f>
        <v>4</v>
      </c>
      <c r="B36" s="112">
        <v>86.9</v>
      </c>
      <c r="C36" s="113">
        <v>86.5</v>
      </c>
      <c r="D36" s="114">
        <v>78.7</v>
      </c>
    </row>
    <row r="37" spans="1:4">
      <c r="A37" s="110">
        <v>4.5</v>
      </c>
      <c r="B37" s="112">
        <v>86.4</v>
      </c>
      <c r="C37" s="113">
        <v>85.6</v>
      </c>
      <c r="D37" s="114">
        <v>78.3</v>
      </c>
    </row>
    <row r="38" spans="1:4">
      <c r="A38" s="110">
        <f>A37+0.5</f>
        <v>5</v>
      </c>
      <c r="B38" s="112">
        <v>85.6</v>
      </c>
      <c r="C38" s="113">
        <v>84.4</v>
      </c>
      <c r="D38" s="114">
        <v>77.8</v>
      </c>
    </row>
    <row r="39" spans="1:4">
      <c r="A39" s="110">
        <v>5.5</v>
      </c>
      <c r="B39" s="112">
        <v>84.9</v>
      </c>
      <c r="C39" s="122"/>
      <c r="D39" s="114">
        <v>77.3</v>
      </c>
    </row>
    <row r="40" spans="1:4">
      <c r="A40" s="110">
        <f>A39+0.5</f>
        <v>6</v>
      </c>
      <c r="B40" s="112">
        <v>84.2</v>
      </c>
      <c r="C40" s="122"/>
      <c r="D40" s="114">
        <v>76.900000000000006</v>
      </c>
    </row>
    <row r="41" spans="1:4">
      <c r="A41" s="110">
        <v>6.5</v>
      </c>
      <c r="B41" s="112">
        <v>83.5</v>
      </c>
      <c r="C41" s="122"/>
      <c r="D41" s="114">
        <v>76.599999999999994</v>
      </c>
    </row>
    <row r="42" spans="1:4">
      <c r="A42" s="110">
        <f>A41+0.5</f>
        <v>7</v>
      </c>
      <c r="B42" s="112">
        <v>82.9</v>
      </c>
      <c r="C42" s="122"/>
      <c r="D42" s="114">
        <v>76.3</v>
      </c>
    </row>
    <row r="43" spans="1:4">
      <c r="A43" s="110">
        <v>7.5</v>
      </c>
      <c r="B43" s="112">
        <v>82.3</v>
      </c>
      <c r="C43" s="122"/>
      <c r="D43" s="114">
        <v>76</v>
      </c>
    </row>
    <row r="44" spans="1:4">
      <c r="A44" s="110">
        <f>A43+0.5</f>
        <v>8</v>
      </c>
      <c r="B44" s="112">
        <v>81.7</v>
      </c>
      <c r="C44" s="122"/>
      <c r="D44" s="114">
        <v>75.8</v>
      </c>
    </row>
    <row r="45" spans="1:4">
      <c r="A45" s="110">
        <v>8.5</v>
      </c>
      <c r="B45" s="112">
        <v>81.099999999999994</v>
      </c>
      <c r="C45" s="122"/>
      <c r="D45" s="114">
        <v>75.7</v>
      </c>
    </row>
    <row r="46" spans="1:4">
      <c r="A46" s="110">
        <f>A45+0.5</f>
        <v>9</v>
      </c>
      <c r="B46" s="112">
        <v>80.599999999999994</v>
      </c>
      <c r="C46" s="122"/>
      <c r="D46" s="114">
        <v>75.5</v>
      </c>
    </row>
    <row r="47" spans="1:4">
      <c r="A47" s="110">
        <v>9.5</v>
      </c>
      <c r="B47" s="112">
        <v>80.099999999999994</v>
      </c>
      <c r="C47" s="122"/>
      <c r="D47" s="114">
        <v>75.400000000000006</v>
      </c>
    </row>
    <row r="48" spans="1:4">
      <c r="A48" s="110">
        <f>A47+0.5</f>
        <v>10</v>
      </c>
      <c r="B48" s="112">
        <v>79.599999999999994</v>
      </c>
      <c r="C48" s="122"/>
      <c r="D48" s="114">
        <v>75.3</v>
      </c>
    </row>
  </sheetData>
  <mergeCells count="2">
    <mergeCell ref="B7:D7"/>
    <mergeCell ref="B29:D2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topLeftCell="A7" workbookViewId="0">
      <selection activeCell="T49" sqref="T49"/>
    </sheetView>
  </sheetViews>
  <sheetFormatPr defaultRowHeight="12.75"/>
  <cols>
    <col min="1" max="16384" width="9.33203125" style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B42:AC58"/>
  <sheetViews>
    <sheetView workbookViewId="0">
      <selection activeCell="A60" sqref="A60"/>
    </sheetView>
  </sheetViews>
  <sheetFormatPr defaultRowHeight="12.75"/>
  <cols>
    <col min="26" max="26" width="13.5" customWidth="1"/>
    <col min="27" max="28" width="10.1640625" bestFit="1" customWidth="1"/>
  </cols>
  <sheetData>
    <row r="42" spans="2:29" ht="15">
      <c r="Q42" s="84" t="s">
        <v>120</v>
      </c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6"/>
    </row>
    <row r="43" spans="2:29">
      <c r="Q43" s="87" t="s">
        <v>121</v>
      </c>
      <c r="R43" s="88"/>
      <c r="S43" s="91" t="s">
        <v>122</v>
      </c>
      <c r="T43" s="92"/>
      <c r="U43" s="93"/>
      <c r="V43" s="87" t="s">
        <v>123</v>
      </c>
      <c r="W43" s="88"/>
      <c r="X43" s="97" t="s">
        <v>124</v>
      </c>
      <c r="Y43" s="99" t="s">
        <v>125</v>
      </c>
      <c r="Z43" s="100"/>
      <c r="AA43" s="101" t="s">
        <v>126</v>
      </c>
      <c r="AB43" s="101" t="s">
        <v>127</v>
      </c>
      <c r="AC43" t="s">
        <v>145</v>
      </c>
    </row>
    <row r="44" spans="2:29">
      <c r="Q44" s="89"/>
      <c r="R44" s="90"/>
      <c r="S44" s="94"/>
      <c r="T44" s="95"/>
      <c r="U44" s="96"/>
      <c r="V44" s="89"/>
      <c r="W44" s="90"/>
      <c r="X44" s="98"/>
      <c r="Y44" s="44" t="s">
        <v>128</v>
      </c>
      <c r="Z44" s="44" t="s">
        <v>129</v>
      </c>
      <c r="AA44" s="102"/>
      <c r="AB44" s="102"/>
      <c r="AC44" t="s">
        <v>50</v>
      </c>
    </row>
    <row r="45" spans="2:29">
      <c r="Q45" s="75" t="s">
        <v>130</v>
      </c>
      <c r="R45" s="76"/>
      <c r="S45" s="77">
        <v>193</v>
      </c>
      <c r="T45" s="78"/>
      <c r="U45" s="79"/>
      <c r="V45" s="82">
        <v>1.35</v>
      </c>
      <c r="W45" s="83"/>
      <c r="X45" s="45" t="s">
        <v>131</v>
      </c>
      <c r="Y45" s="46">
        <v>0.16653000000000001</v>
      </c>
      <c r="Z45" s="47">
        <v>4.7130000000000002E-3</v>
      </c>
      <c r="AA45" s="48">
        <v>591</v>
      </c>
      <c r="AB45" s="48">
        <v>834</v>
      </c>
      <c r="AC45">
        <f>S45*V45</f>
        <v>260.55</v>
      </c>
    </row>
    <row r="46" spans="2:29">
      <c r="B46" s="42" t="s">
        <v>111</v>
      </c>
      <c r="Q46" s="75" t="s">
        <v>132</v>
      </c>
      <c r="R46" s="76"/>
      <c r="S46" s="77">
        <v>193</v>
      </c>
      <c r="T46" s="78"/>
      <c r="U46" s="79"/>
      <c r="V46" s="80">
        <v>1.8</v>
      </c>
      <c r="W46" s="81"/>
      <c r="X46" s="45" t="s">
        <v>131</v>
      </c>
      <c r="Y46" s="46">
        <v>0.22203999999999999</v>
      </c>
      <c r="Z46" s="47">
        <v>6.2839999999999997E-3</v>
      </c>
      <c r="AA46" s="48">
        <v>788</v>
      </c>
      <c r="AB46" s="48">
        <v>1112</v>
      </c>
      <c r="AC46">
        <f t="shared" ref="AC46:AC57" si="0">S46*V46</f>
        <v>347.40000000000003</v>
      </c>
    </row>
    <row r="47" spans="2:29">
      <c r="B47" s="42" t="s">
        <v>112</v>
      </c>
      <c r="Q47" s="75" t="s">
        <v>133</v>
      </c>
      <c r="R47" s="76"/>
      <c r="S47" s="77">
        <v>233</v>
      </c>
      <c r="T47" s="78"/>
      <c r="U47" s="79"/>
      <c r="V47" s="82">
        <v>1.35</v>
      </c>
      <c r="W47" s="83"/>
      <c r="X47" s="45" t="s">
        <v>131</v>
      </c>
      <c r="Y47" s="46">
        <v>0.29300999999999999</v>
      </c>
      <c r="Z47" s="47">
        <v>8.2920000000000008E-3</v>
      </c>
      <c r="AA47" s="48">
        <v>1040</v>
      </c>
      <c r="AB47" s="48">
        <v>1468</v>
      </c>
      <c r="AC47">
        <f t="shared" si="0"/>
        <v>314.55</v>
      </c>
    </row>
    <row r="48" spans="2:29">
      <c r="B48" s="42" t="s">
        <v>113</v>
      </c>
      <c r="Q48" s="75" t="s">
        <v>134</v>
      </c>
      <c r="R48" s="76"/>
      <c r="S48" s="77">
        <v>233</v>
      </c>
      <c r="T48" s="78"/>
      <c r="U48" s="79"/>
      <c r="V48" s="80">
        <v>1.7</v>
      </c>
      <c r="W48" s="81"/>
      <c r="X48" s="45" t="s">
        <v>131</v>
      </c>
      <c r="Y48" s="46">
        <v>0.36897000000000002</v>
      </c>
      <c r="Z48" s="47">
        <v>1.0442E-2</v>
      </c>
      <c r="AA48" s="48">
        <v>1310</v>
      </c>
      <c r="AB48" s="48">
        <v>1848</v>
      </c>
      <c r="AC48">
        <f t="shared" si="0"/>
        <v>396.09999999999997</v>
      </c>
    </row>
    <row r="49" spans="2:29">
      <c r="B49" s="42" t="s">
        <v>114</v>
      </c>
      <c r="Q49" s="75" t="s">
        <v>135</v>
      </c>
      <c r="R49" s="76"/>
      <c r="S49" s="77">
        <v>233</v>
      </c>
      <c r="T49" s="78"/>
      <c r="U49" s="79"/>
      <c r="V49" s="80">
        <v>2.1</v>
      </c>
      <c r="W49" s="81"/>
      <c r="X49" s="45" t="s">
        <v>131</v>
      </c>
      <c r="Y49" s="46">
        <v>0.45579999999999998</v>
      </c>
      <c r="Z49" s="47">
        <v>1.2899000000000001E-2</v>
      </c>
      <c r="AA49" s="48">
        <v>1618</v>
      </c>
      <c r="AB49" s="48">
        <v>2283</v>
      </c>
      <c r="AC49">
        <f t="shared" si="0"/>
        <v>489.3</v>
      </c>
    </row>
    <row r="50" spans="2:29">
      <c r="B50" s="43" t="s">
        <v>115</v>
      </c>
      <c r="Q50" s="75" t="s">
        <v>136</v>
      </c>
      <c r="R50" s="76"/>
      <c r="S50" s="77">
        <v>283</v>
      </c>
      <c r="T50" s="78"/>
      <c r="U50" s="79"/>
      <c r="V50" s="82">
        <v>1.35</v>
      </c>
      <c r="W50" s="83"/>
      <c r="X50" s="45" t="s">
        <v>137</v>
      </c>
      <c r="Y50" s="46">
        <v>0.52500999999999998</v>
      </c>
      <c r="Z50" s="47">
        <v>1.4858E-2</v>
      </c>
      <c r="AA50" s="48">
        <v>1864</v>
      </c>
      <c r="AB50" s="48">
        <v>2630</v>
      </c>
      <c r="AC50">
        <f t="shared" si="0"/>
        <v>382.05</v>
      </c>
    </row>
    <row r="51" spans="2:29">
      <c r="B51" s="43" t="s">
        <v>116</v>
      </c>
      <c r="Q51" s="75" t="s">
        <v>138</v>
      </c>
      <c r="R51" s="76"/>
      <c r="S51" s="77">
        <v>283</v>
      </c>
      <c r="T51" s="78"/>
      <c r="U51" s="79"/>
      <c r="V51" s="80">
        <v>1.7</v>
      </c>
      <c r="W51" s="81"/>
      <c r="X51" s="45" t="s">
        <v>137</v>
      </c>
      <c r="Y51" s="46">
        <v>0.66115000000000002</v>
      </c>
      <c r="Z51" s="47">
        <v>1.8710999999999998E-2</v>
      </c>
      <c r="AA51" s="48">
        <v>2347</v>
      </c>
      <c r="AB51" s="48">
        <v>3312</v>
      </c>
      <c r="AC51">
        <f t="shared" si="0"/>
        <v>481.09999999999997</v>
      </c>
    </row>
    <row r="52" spans="2:29">
      <c r="B52" s="42" t="s">
        <v>117</v>
      </c>
      <c r="Q52" s="75" t="s">
        <v>139</v>
      </c>
      <c r="R52" s="76"/>
      <c r="S52" s="77">
        <v>283</v>
      </c>
      <c r="T52" s="78"/>
      <c r="U52" s="79"/>
      <c r="V52" s="80">
        <v>2.1</v>
      </c>
      <c r="W52" s="81"/>
      <c r="X52" s="45" t="s">
        <v>137</v>
      </c>
      <c r="Y52" s="46">
        <v>0.79545999999999994</v>
      </c>
      <c r="Z52" s="47">
        <v>2.2512000000000001E-2</v>
      </c>
      <c r="AA52" s="48">
        <v>2824</v>
      </c>
      <c r="AB52" s="48">
        <v>3985</v>
      </c>
      <c r="AC52">
        <f t="shared" si="0"/>
        <v>594.30000000000007</v>
      </c>
    </row>
    <row r="53" spans="2:29">
      <c r="B53" s="42" t="s">
        <v>118</v>
      </c>
      <c r="Q53" s="75" t="s">
        <v>140</v>
      </c>
      <c r="R53" s="76"/>
      <c r="S53" s="77">
        <v>283</v>
      </c>
      <c r="T53" s="78"/>
      <c r="U53" s="79"/>
      <c r="V53" s="80">
        <v>2.4</v>
      </c>
      <c r="W53" s="81"/>
      <c r="X53" s="45" t="s">
        <v>137</v>
      </c>
      <c r="Y53" s="46">
        <v>0.89858000000000005</v>
      </c>
      <c r="Z53" s="47">
        <v>2.5430000000000001E-2</v>
      </c>
      <c r="AA53" s="48">
        <v>3190</v>
      </c>
      <c r="AB53" s="48">
        <v>4501</v>
      </c>
      <c r="AC53">
        <f t="shared" si="0"/>
        <v>679.19999999999993</v>
      </c>
    </row>
    <row r="54" spans="2:29">
      <c r="B54" s="42" t="s">
        <v>119</v>
      </c>
      <c r="Q54" s="75" t="s">
        <v>141</v>
      </c>
      <c r="R54" s="76"/>
      <c r="S54" s="77">
        <v>355</v>
      </c>
      <c r="T54" s="78"/>
      <c r="U54" s="79"/>
      <c r="V54" s="80">
        <v>1.1000000000000001</v>
      </c>
      <c r="W54" s="81"/>
      <c r="X54" s="45" t="s">
        <v>137</v>
      </c>
      <c r="Y54" s="46">
        <v>0.82247999999999999</v>
      </c>
      <c r="Z54" s="47">
        <v>2.3276000000000002E-2</v>
      </c>
      <c r="AA54" s="48">
        <v>2920</v>
      </c>
      <c r="AB54" s="48">
        <v>4120</v>
      </c>
      <c r="AC54">
        <f t="shared" si="0"/>
        <v>390.50000000000006</v>
      </c>
    </row>
    <row r="55" spans="2:29">
      <c r="Q55" s="75" t="s">
        <v>142</v>
      </c>
      <c r="R55" s="76"/>
      <c r="S55" s="77">
        <v>355</v>
      </c>
      <c r="T55" s="78"/>
      <c r="U55" s="79"/>
      <c r="V55" s="80">
        <v>1.5</v>
      </c>
      <c r="W55" s="81"/>
      <c r="X55" s="45" t="s">
        <v>137</v>
      </c>
      <c r="Y55" s="46">
        <v>1.12154</v>
      </c>
      <c r="Z55" s="47">
        <v>3.1739000000000003E-2</v>
      </c>
      <c r="AA55" s="48">
        <v>3981</v>
      </c>
      <c r="AB55" s="48">
        <v>5618</v>
      </c>
      <c r="AC55">
        <f t="shared" si="0"/>
        <v>532.5</v>
      </c>
    </row>
    <row r="56" spans="2:29">
      <c r="Q56" s="75" t="s">
        <v>143</v>
      </c>
      <c r="R56" s="76"/>
      <c r="S56" s="77">
        <v>355</v>
      </c>
      <c r="T56" s="78"/>
      <c r="U56" s="79"/>
      <c r="V56" s="80">
        <v>1.9</v>
      </c>
      <c r="W56" s="81"/>
      <c r="X56" s="45" t="s">
        <v>137</v>
      </c>
      <c r="Y56" s="46">
        <v>1.4274800000000001</v>
      </c>
      <c r="Z56" s="47">
        <v>4.0398000000000003E-2</v>
      </c>
      <c r="AA56" s="48">
        <v>5068</v>
      </c>
      <c r="AB56" s="48">
        <v>7150</v>
      </c>
      <c r="AC56">
        <f t="shared" si="0"/>
        <v>674.5</v>
      </c>
    </row>
    <row r="57" spans="2:29">
      <c r="Q57" s="75" t="s">
        <v>144</v>
      </c>
      <c r="R57" s="76"/>
      <c r="S57" s="77">
        <v>355</v>
      </c>
      <c r="T57" s="78"/>
      <c r="U57" s="79"/>
      <c r="V57" s="80">
        <v>2.4</v>
      </c>
      <c r="W57" s="81"/>
      <c r="X57" s="45" t="s">
        <v>137</v>
      </c>
      <c r="Y57" s="46">
        <v>1.80328</v>
      </c>
      <c r="Z57" s="47">
        <v>5.1033000000000002E-2</v>
      </c>
      <c r="AA57" s="48">
        <v>6402</v>
      </c>
      <c r="AB57" s="48">
        <v>9033</v>
      </c>
      <c r="AC57">
        <f t="shared" si="0"/>
        <v>852</v>
      </c>
    </row>
    <row r="58" spans="2:29">
      <c r="AA58" s="49"/>
      <c r="AB58" s="49"/>
    </row>
  </sheetData>
  <mergeCells count="47">
    <mergeCell ref="Q42:AB42"/>
    <mergeCell ref="Q43:R44"/>
    <mergeCell ref="S43:U44"/>
    <mergeCell ref="V43:W44"/>
    <mergeCell ref="X43:X44"/>
    <mergeCell ref="Y43:Z43"/>
    <mergeCell ref="AA43:AA44"/>
    <mergeCell ref="AB43:AB44"/>
    <mergeCell ref="Q45:R45"/>
    <mergeCell ref="S45:U45"/>
    <mergeCell ref="V45:W45"/>
    <mergeCell ref="Q46:R46"/>
    <mergeCell ref="S46:U46"/>
    <mergeCell ref="V46:W46"/>
    <mergeCell ref="Q47:R47"/>
    <mergeCell ref="S47:U47"/>
    <mergeCell ref="V47:W47"/>
    <mergeCell ref="Q48:R48"/>
    <mergeCell ref="S48:U48"/>
    <mergeCell ref="V48:W48"/>
    <mergeCell ref="Q49:R49"/>
    <mergeCell ref="S49:U49"/>
    <mergeCell ref="V49:W49"/>
    <mergeCell ref="Q50:R50"/>
    <mergeCell ref="S50:U50"/>
    <mergeCell ref="V50:W50"/>
    <mergeCell ref="Q51:R51"/>
    <mergeCell ref="S51:U51"/>
    <mergeCell ref="V51:W51"/>
    <mergeCell ref="Q52:R52"/>
    <mergeCell ref="S52:U52"/>
    <mergeCell ref="V52:W52"/>
    <mergeCell ref="Q53:R53"/>
    <mergeCell ref="S53:U53"/>
    <mergeCell ref="V53:W53"/>
    <mergeCell ref="Q54:R54"/>
    <mergeCell ref="S54:U54"/>
    <mergeCell ref="V54:W54"/>
    <mergeCell ref="Q57:R57"/>
    <mergeCell ref="S57:U57"/>
    <mergeCell ref="V57:W57"/>
    <mergeCell ref="Q55:R55"/>
    <mergeCell ref="S55:U55"/>
    <mergeCell ref="V55:W55"/>
    <mergeCell ref="Q56:R56"/>
    <mergeCell ref="S56:U56"/>
    <mergeCell ref="V56:W5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Q8:R23"/>
  <sheetViews>
    <sheetView topLeftCell="A16" workbookViewId="0">
      <selection activeCell="Q21" sqref="Q21"/>
    </sheetView>
  </sheetViews>
  <sheetFormatPr defaultRowHeight="12.75"/>
  <cols>
    <col min="1" max="16" width="9.33203125" style="1"/>
    <col min="17" max="17" width="20.5" style="1" bestFit="1" customWidth="1"/>
    <col min="18" max="16384" width="9.33203125" style="1"/>
  </cols>
  <sheetData>
    <row r="8" spans="17:18">
      <c r="R8" s="1">
        <f>20-5</f>
        <v>15</v>
      </c>
    </row>
    <row r="12" spans="17:18">
      <c r="Q12" s="1" t="s">
        <v>146</v>
      </c>
      <c r="R12" s="1">
        <v>699</v>
      </c>
    </row>
    <row r="13" spans="17:18">
      <c r="Q13" s="1" t="s">
        <v>148</v>
      </c>
      <c r="R13" s="1">
        <v>920</v>
      </c>
    </row>
    <row r="14" spans="17:18">
      <c r="Q14" s="1" t="s">
        <v>147</v>
      </c>
      <c r="R14" s="1">
        <v>1221</v>
      </c>
    </row>
    <row r="15" spans="17:18">
      <c r="Q15" s="1" t="s">
        <v>155</v>
      </c>
      <c r="R15" s="1">
        <v>1381</v>
      </c>
    </row>
    <row r="16" spans="17:18">
      <c r="Q16" s="1" t="s">
        <v>156</v>
      </c>
      <c r="R16" s="1">
        <v>1809</v>
      </c>
    </row>
    <row r="17" spans="17:18">
      <c r="Q17" s="1" t="s">
        <v>157</v>
      </c>
      <c r="R17" s="1">
        <v>2411</v>
      </c>
    </row>
    <row r="18" spans="17:18">
      <c r="Q18" s="1" t="s">
        <v>152</v>
      </c>
      <c r="R18" s="1">
        <v>2708</v>
      </c>
    </row>
    <row r="19" spans="17:18">
      <c r="Q19" s="1" t="s">
        <v>153</v>
      </c>
      <c r="R19" s="1">
        <v>3558</v>
      </c>
    </row>
    <row r="20" spans="17:18">
      <c r="Q20" s="1" t="s">
        <v>154</v>
      </c>
      <c r="R20" s="1">
        <v>4733</v>
      </c>
    </row>
    <row r="21" spans="17:18">
      <c r="Q21" s="1" t="s">
        <v>149</v>
      </c>
      <c r="R21" s="1">
        <v>5699</v>
      </c>
    </row>
    <row r="22" spans="17:18">
      <c r="Q22" s="1" t="s">
        <v>150</v>
      </c>
      <c r="R22" s="1">
        <v>7459</v>
      </c>
    </row>
    <row r="23" spans="17:18">
      <c r="Q23" s="1" t="s">
        <v>151</v>
      </c>
      <c r="R23" s="1">
        <v>9937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topLeftCell="H1" workbookViewId="0">
      <selection activeCell="T35" sqref="T35"/>
    </sheetView>
  </sheetViews>
  <sheetFormatPr defaultRowHeight="12.7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AJ15"/>
  <sheetViews>
    <sheetView zoomScale="130" zoomScaleNormal="130" workbookViewId="0">
      <selection activeCell="J12" sqref="J12"/>
    </sheetView>
  </sheetViews>
  <sheetFormatPr defaultRowHeight="12.75"/>
  <cols>
    <col min="1" max="1" width="13.83203125" style="1" bestFit="1" customWidth="1"/>
    <col min="2" max="8" width="9.33203125" style="1"/>
    <col min="9" max="9" width="13.33203125" style="1" bestFit="1" customWidth="1"/>
    <col min="10" max="10" width="12.6640625" style="1" customWidth="1"/>
    <col min="11" max="16" width="9.33203125" style="1"/>
    <col min="17" max="17" width="9" style="1" customWidth="1"/>
    <col min="18" max="20" width="12.5" style="1" customWidth="1"/>
    <col min="21" max="21" width="10.33203125" style="1" customWidth="1"/>
    <col min="22" max="22" width="12.5" style="1" customWidth="1"/>
    <col min="23" max="23" width="11.6640625" style="1" bestFit="1" customWidth="1"/>
    <col min="24" max="24" width="9.33203125" style="1"/>
    <col min="25" max="27" width="11.1640625" style="1" customWidth="1"/>
    <col min="28" max="28" width="12.33203125" style="1" bestFit="1" customWidth="1"/>
    <col min="29" max="29" width="10" style="1" customWidth="1"/>
    <col min="30" max="31" width="5.6640625" style="1" bestFit="1" customWidth="1"/>
    <col min="32" max="16384" width="9.33203125" style="1"/>
  </cols>
  <sheetData>
    <row r="1" spans="1:36">
      <c r="A1" s="17" t="s">
        <v>71</v>
      </c>
      <c r="B1" s="1">
        <v>28.958600656000002</v>
      </c>
    </row>
    <row r="2" spans="1:36" ht="25.5">
      <c r="A2" s="17" t="s">
        <v>72</v>
      </c>
      <c r="B2" s="1">
        <v>1.2758162153163073</v>
      </c>
      <c r="R2" s="66" t="s">
        <v>191</v>
      </c>
      <c r="S2" s="66"/>
      <c r="T2" s="66" t="s">
        <v>193</v>
      </c>
      <c r="Y2" s="66" t="s">
        <v>183</v>
      </c>
      <c r="Z2" s="66"/>
      <c r="AB2" s="39"/>
      <c r="AC2" s="39"/>
      <c r="AD2" s="39"/>
      <c r="AE2" s="39"/>
      <c r="AF2" s="39"/>
      <c r="AG2" s="39"/>
    </row>
    <row r="3" spans="1:36" ht="25.5">
      <c r="C3" s="57"/>
      <c r="D3" s="57"/>
      <c r="E3" s="57" t="s">
        <v>198</v>
      </c>
      <c r="F3" s="57" t="s">
        <v>199</v>
      </c>
      <c r="G3" s="57" t="s">
        <v>200</v>
      </c>
      <c r="H3" s="57" t="s">
        <v>201</v>
      </c>
      <c r="I3" s="58" t="s">
        <v>204</v>
      </c>
      <c r="J3" s="58" t="s">
        <v>205</v>
      </c>
      <c r="K3" s="60" t="s">
        <v>177</v>
      </c>
      <c r="L3" s="60" t="s">
        <v>178</v>
      </c>
      <c r="M3" s="60" t="s">
        <v>179</v>
      </c>
      <c r="N3" s="60" t="s">
        <v>180</v>
      </c>
      <c r="O3" s="60" t="s">
        <v>166</v>
      </c>
      <c r="P3" s="60" t="s">
        <v>165</v>
      </c>
      <c r="Q3" s="60" t="s">
        <v>167</v>
      </c>
      <c r="R3" s="60" t="s">
        <v>184</v>
      </c>
      <c r="S3" s="60" t="s">
        <v>185</v>
      </c>
      <c r="T3" s="66" t="s">
        <v>193</v>
      </c>
      <c r="U3" s="60" t="s">
        <v>181</v>
      </c>
      <c r="V3" s="60" t="s">
        <v>182</v>
      </c>
      <c r="W3" s="60" t="s">
        <v>170</v>
      </c>
      <c r="X3" s="60" t="s">
        <v>171</v>
      </c>
      <c r="Y3" s="60" t="s">
        <v>184</v>
      </c>
      <c r="Z3" s="60" t="s">
        <v>185</v>
      </c>
      <c r="AB3" s="62" t="s">
        <v>175</v>
      </c>
      <c r="AC3" s="62" t="s">
        <v>176</v>
      </c>
      <c r="AD3" s="62" t="s">
        <v>174</v>
      </c>
      <c r="AE3" s="62" t="s">
        <v>174</v>
      </c>
      <c r="AF3" s="62" t="s">
        <v>168</v>
      </c>
      <c r="AG3" s="62" t="s">
        <v>169</v>
      </c>
    </row>
    <row r="4" spans="1:36" ht="25.5">
      <c r="C4" s="61" t="s">
        <v>186</v>
      </c>
      <c r="D4" s="61" t="s">
        <v>202</v>
      </c>
      <c r="E4" s="67">
        <v>9.6</v>
      </c>
      <c r="F4" s="67">
        <v>28</v>
      </c>
      <c r="G4" s="67">
        <v>268</v>
      </c>
      <c r="H4" s="69">
        <v>0.245</v>
      </c>
      <c r="I4" s="70">
        <f>15.5*(E4)^0.23/100</f>
        <v>0.26076787129287671</v>
      </c>
      <c r="J4" s="71">
        <f>(300-4.5)/4.5/H4*E4</f>
        <v>2573.0612244897961</v>
      </c>
      <c r="K4" s="58">
        <v>312</v>
      </c>
      <c r="L4" s="58">
        <v>1.03</v>
      </c>
      <c r="M4" s="58">
        <v>5.2</v>
      </c>
      <c r="N4" s="58">
        <v>22</v>
      </c>
      <c r="O4" s="58">
        <v>496.3</v>
      </c>
      <c r="P4" s="58">
        <v>996.3</v>
      </c>
      <c r="Q4" s="63">
        <f>O4/P4</f>
        <v>0.49814312957944396</v>
      </c>
      <c r="R4" s="64">
        <f t="shared" ref="R4" si="0">O4/1000*3600/($B$2*L4*273.15/(K4)*4/$B$1)</f>
        <v>11243.263873016251</v>
      </c>
      <c r="S4" s="64">
        <f t="shared" ref="S4" si="1">P4/1000*3600/($B$2*M4*273.15/(K4)*4/$B$1)</f>
        <v>4470.6651182545729</v>
      </c>
      <c r="T4" s="66" t="s">
        <v>193</v>
      </c>
      <c r="U4" s="65">
        <v>0.8</v>
      </c>
      <c r="V4" s="65">
        <v>0.75</v>
      </c>
      <c r="W4" s="58">
        <v>2</v>
      </c>
      <c r="X4" s="58">
        <v>2</v>
      </c>
      <c r="Y4" s="64">
        <f t="shared" ref="Y4" si="2">R4/W4/U4</f>
        <v>7027.0399206351567</v>
      </c>
      <c r="Z4" s="64">
        <f t="shared" ref="Z4" si="3">S4/X4/V4</f>
        <v>2980.4434121697154</v>
      </c>
      <c r="AB4" s="59" t="s">
        <v>187</v>
      </c>
      <c r="AC4" s="59" t="s">
        <v>188</v>
      </c>
      <c r="AD4" s="59"/>
      <c r="AE4" s="59"/>
      <c r="AF4" s="59"/>
      <c r="AG4" s="59"/>
    </row>
    <row r="5" spans="1:36" ht="25.5">
      <c r="C5" s="61" t="s">
        <v>164</v>
      </c>
      <c r="D5" s="61"/>
      <c r="E5" s="61"/>
      <c r="F5" s="61"/>
      <c r="G5" s="61"/>
      <c r="H5" s="61"/>
      <c r="I5" s="61"/>
      <c r="J5" s="61"/>
      <c r="K5" s="58">
        <v>318</v>
      </c>
      <c r="L5" s="58">
        <v>1.071</v>
      </c>
      <c r="M5" s="58">
        <v>3.9569999999999999</v>
      </c>
      <c r="N5" s="58">
        <v>20.62</v>
      </c>
      <c r="O5" s="58">
        <v>463.1</v>
      </c>
      <c r="P5" s="58">
        <v>1547</v>
      </c>
      <c r="Q5" s="63">
        <f>O5/P5</f>
        <v>0.2993535875888817</v>
      </c>
      <c r="R5" s="64">
        <f>O5/1000*3600/($B$2*L5*273.15/(K5)*4/$B$1)</f>
        <v>10283.552961267214</v>
      </c>
      <c r="S5" s="64">
        <f>P5/1000*3600/($B$2*M5*273.15/(K5)*4/$B$1)</f>
        <v>9297.8415819809725</v>
      </c>
      <c r="T5" s="66" t="s">
        <v>193</v>
      </c>
      <c r="U5" s="65">
        <v>0.8</v>
      </c>
      <c r="V5" s="65">
        <v>0.75</v>
      </c>
      <c r="W5" s="58">
        <v>2</v>
      </c>
      <c r="X5" s="58">
        <v>2</v>
      </c>
      <c r="Y5" s="64">
        <f>R5/W5/U5</f>
        <v>6427.2206007920086</v>
      </c>
      <c r="Z5" s="64">
        <f>S5/X5/V5</f>
        <v>6198.561054653982</v>
      </c>
      <c r="AB5" s="59" t="s">
        <v>172</v>
      </c>
      <c r="AC5" s="59" t="s">
        <v>173</v>
      </c>
      <c r="AD5" s="59">
        <v>2985</v>
      </c>
      <c r="AE5" s="59">
        <v>2975</v>
      </c>
      <c r="AF5" s="59">
        <v>8027</v>
      </c>
      <c r="AG5" s="59">
        <v>6463</v>
      </c>
      <c r="AH5" s="56">
        <f>AF5/Y5</f>
        <v>1.2489068757046951</v>
      </c>
      <c r="AI5" s="56">
        <f>AG5/Z5</f>
        <v>1.0426613439819994</v>
      </c>
    </row>
    <row r="6" spans="1:36">
      <c r="C6" s="61" t="s">
        <v>194</v>
      </c>
      <c r="D6" s="61"/>
      <c r="E6" s="61"/>
      <c r="F6" s="61"/>
      <c r="G6" s="68"/>
      <c r="H6" s="61"/>
      <c r="I6" s="61"/>
      <c r="J6" s="61"/>
      <c r="K6" s="58">
        <v>320.5</v>
      </c>
      <c r="L6" s="58">
        <v>1.05</v>
      </c>
      <c r="M6" s="58">
        <v>4.8250000000000002</v>
      </c>
      <c r="N6" s="58">
        <v>21</v>
      </c>
      <c r="O6" s="58">
        <v>886.5</v>
      </c>
      <c r="P6" s="58">
        <v>4067</v>
      </c>
      <c r="Q6" s="63">
        <f>O6/P6</f>
        <v>0.21797393656257683</v>
      </c>
      <c r="R6" s="64">
        <f t="shared" ref="R6" si="4">O6/1000*3600/($B$2*L6*273.15/(K6)*4/$B$1)</f>
        <v>20237.097945893838</v>
      </c>
      <c r="S6" s="64">
        <f t="shared" ref="S6" si="5">P6/1000*3600/($B$2*M6*273.15/(K6)*4/$B$1)</f>
        <v>20203.920339519449</v>
      </c>
      <c r="T6" s="66" t="s">
        <v>193</v>
      </c>
      <c r="U6" s="65">
        <v>0.8</v>
      </c>
      <c r="V6" s="65">
        <v>0.75</v>
      </c>
      <c r="W6" s="58">
        <v>2</v>
      </c>
      <c r="X6" s="58">
        <v>2</v>
      </c>
      <c r="Y6" s="64">
        <f t="shared" ref="Y6" si="6">R6/W6/U6</f>
        <v>12648.186216183649</v>
      </c>
      <c r="Z6" s="64">
        <f t="shared" ref="Z6" si="7">S6/X6/V6</f>
        <v>13469.2802263463</v>
      </c>
    </row>
    <row r="7" spans="1:36">
      <c r="C7" s="61" t="s">
        <v>192</v>
      </c>
      <c r="D7" s="61"/>
      <c r="E7" s="61"/>
      <c r="F7" s="61"/>
      <c r="G7" s="61"/>
      <c r="H7" s="61"/>
      <c r="I7" s="61"/>
      <c r="J7" s="61"/>
      <c r="K7" s="58">
        <v>320</v>
      </c>
      <c r="L7" s="58">
        <v>1.05</v>
      </c>
      <c r="M7" s="58">
        <v>4.8250000000000002</v>
      </c>
      <c r="N7" s="58">
        <v>21</v>
      </c>
      <c r="O7" s="58">
        <v>254.3</v>
      </c>
      <c r="P7" s="58">
        <v>1243</v>
      </c>
      <c r="Q7" s="63">
        <f>O7/P7</f>
        <v>0.20458567980691875</v>
      </c>
      <c r="R7" s="64">
        <f>O7/1000*3600/($B$2*L7*273.15/(K7)*4/$B$1)</f>
        <v>5796.125739252444</v>
      </c>
      <c r="S7" s="64">
        <f>P7/1000*3600/($B$2*M7*273.15/(K7)*4/$B$1)</f>
        <v>6165.3047447817353</v>
      </c>
      <c r="T7" s="66" t="s">
        <v>193</v>
      </c>
      <c r="U7" s="65">
        <v>0.8</v>
      </c>
      <c r="V7" s="65">
        <v>0.75</v>
      </c>
      <c r="W7" s="58">
        <v>2</v>
      </c>
      <c r="X7" s="58">
        <v>2</v>
      </c>
      <c r="Y7" s="64">
        <f>R7/W7/U7</f>
        <v>3622.5785870327772</v>
      </c>
      <c r="Z7" s="64">
        <f>S7/X7/V7</f>
        <v>4110.2031631878235</v>
      </c>
    </row>
    <row r="8" spans="1:36">
      <c r="C8" s="61" t="s">
        <v>190</v>
      </c>
      <c r="D8" s="61"/>
      <c r="E8" s="61"/>
      <c r="F8" s="61"/>
      <c r="G8" s="61"/>
      <c r="H8" s="61"/>
      <c r="I8" s="61"/>
      <c r="J8" s="61"/>
      <c r="K8" s="58">
        <v>311</v>
      </c>
      <c r="L8" s="58">
        <v>1.05</v>
      </c>
      <c r="M8" s="58">
        <v>4</v>
      </c>
      <c r="N8" s="58">
        <v>16</v>
      </c>
      <c r="O8" s="58">
        <v>424.2</v>
      </c>
      <c r="P8" s="58">
        <v>1034</v>
      </c>
      <c r="Q8" s="63">
        <f>O8/P8</f>
        <v>0.4102514506769826</v>
      </c>
      <c r="R8" s="64">
        <f>O8/1000*3600/($B$2*L8*273.15/(K8)*4/$B$1)</f>
        <v>9396.6383639127707</v>
      </c>
      <c r="S8" s="64">
        <f>P8/1000*3600/($B$2*M8*273.15/(K8)*4/$B$1)</f>
        <v>6012.4530125530973</v>
      </c>
      <c r="T8" s="66" t="s">
        <v>193</v>
      </c>
      <c r="U8" s="65">
        <v>0.8</v>
      </c>
      <c r="V8" s="65">
        <v>0.75</v>
      </c>
      <c r="W8" s="58">
        <v>2</v>
      </c>
      <c r="X8" s="58">
        <v>2</v>
      </c>
      <c r="Y8" s="64">
        <f>R8/W8/U8</f>
        <v>5872.8989774454813</v>
      </c>
      <c r="Z8" s="64">
        <f>S8/X8/V8</f>
        <v>4008.3020083687315</v>
      </c>
    </row>
    <row r="9" spans="1:36">
      <c r="C9" s="61"/>
      <c r="D9" s="61"/>
      <c r="E9" s="61"/>
      <c r="F9" s="61"/>
      <c r="G9" s="61"/>
      <c r="H9" s="61"/>
      <c r="I9" s="61"/>
      <c r="J9" s="61"/>
      <c r="K9" s="58"/>
      <c r="L9" s="58"/>
      <c r="M9" s="58"/>
      <c r="N9" s="58"/>
      <c r="O9" s="58"/>
      <c r="P9" s="58"/>
      <c r="Q9" s="63"/>
      <c r="R9" s="64"/>
      <c r="S9" s="64"/>
      <c r="T9" s="66"/>
      <c r="U9" s="65"/>
      <c r="V9" s="65"/>
      <c r="W9" s="58"/>
      <c r="X9" s="58"/>
      <c r="Y9" s="64"/>
      <c r="Z9" s="64"/>
    </row>
    <row r="10" spans="1:36">
      <c r="C10" s="61" t="s">
        <v>195</v>
      </c>
      <c r="D10" s="61" t="s">
        <v>203</v>
      </c>
      <c r="E10" s="61"/>
      <c r="F10" s="61"/>
      <c r="G10" s="61"/>
      <c r="H10" s="61"/>
      <c r="I10" s="61"/>
      <c r="J10" s="61"/>
      <c r="K10" s="58">
        <v>297</v>
      </c>
      <c r="L10" s="58">
        <v>3.4</v>
      </c>
      <c r="M10" s="58">
        <v>20</v>
      </c>
      <c r="N10" s="58"/>
      <c r="O10" s="58">
        <v>1196</v>
      </c>
      <c r="P10" s="58"/>
      <c r="Q10" s="63"/>
      <c r="R10" s="64">
        <f t="shared" ref="R10" si="8">O10/1000*3600/($B$2*L10*273.15/(K10)*4/$B$1)</f>
        <v>7813.3894329875629</v>
      </c>
      <c r="S10" s="64">
        <f t="shared" ref="S10" si="9">P10/1000*3600/($B$2*M10*273.15/(K10)*4/$B$1)</f>
        <v>0</v>
      </c>
      <c r="T10" s="66" t="s">
        <v>193</v>
      </c>
      <c r="U10" s="65">
        <v>0.8</v>
      </c>
      <c r="V10" s="65">
        <v>0.75</v>
      </c>
      <c r="W10" s="58">
        <v>2</v>
      </c>
      <c r="X10" s="58">
        <v>2</v>
      </c>
      <c r="Y10" s="64">
        <f t="shared" ref="Y10" si="10">R10/W10/U10</f>
        <v>4883.3683956172263</v>
      </c>
      <c r="Z10" s="64">
        <f t="shared" ref="Z10" si="11">S10/X10/V10</f>
        <v>0</v>
      </c>
      <c r="AI10" s="16" t="s">
        <v>50</v>
      </c>
      <c r="AJ10" s="16">
        <v>2.63</v>
      </c>
    </row>
    <row r="11" spans="1:36" ht="25.5">
      <c r="C11" s="61" t="s">
        <v>196</v>
      </c>
      <c r="D11" s="61"/>
      <c r="E11" s="61"/>
      <c r="F11" s="61"/>
      <c r="G11" s="61"/>
      <c r="H11" s="61"/>
      <c r="I11" s="61"/>
      <c r="J11" s="61"/>
      <c r="K11" s="58">
        <v>307.8</v>
      </c>
      <c r="L11" s="58">
        <v>1.04</v>
      </c>
      <c r="M11" s="58">
        <v>4.3</v>
      </c>
      <c r="N11" s="58">
        <v>17.600000000000001</v>
      </c>
      <c r="O11" s="58">
        <v>570.70000000000005</v>
      </c>
      <c r="P11" s="58">
        <v>977.7</v>
      </c>
      <c r="Q11" s="63">
        <f>O11/P11</f>
        <v>0.58371688657052268</v>
      </c>
      <c r="R11" s="64">
        <f t="shared" ref="R11" si="12">O11/1000*3600/($B$2*L11*273.15/(K11)*4/$B$1)</f>
        <v>12632.052083794515</v>
      </c>
      <c r="S11" s="64">
        <f t="shared" ref="S11" si="13">P11/1000*3600/($B$2*M11*273.15/(K11)*4/$B$1)</f>
        <v>5234.0339343437608</v>
      </c>
      <c r="T11" s="66" t="s">
        <v>193</v>
      </c>
      <c r="U11" s="65">
        <v>0.8</v>
      </c>
      <c r="V11" s="65">
        <v>0.75</v>
      </c>
      <c r="W11" s="58">
        <v>2</v>
      </c>
      <c r="X11" s="58">
        <v>2</v>
      </c>
      <c r="Y11" s="64">
        <f t="shared" ref="Y11" si="14">R11/W11/U11</f>
        <v>7895.0325523715719</v>
      </c>
      <c r="Z11" s="64">
        <f t="shared" ref="Z11" si="15">S11/X11/V11</f>
        <v>3489.3559562291739</v>
      </c>
      <c r="AI11" s="16" t="s">
        <v>51</v>
      </c>
      <c r="AJ11" s="16">
        <v>3.65</v>
      </c>
    </row>
    <row r="12" spans="1:36">
      <c r="C12" s="61" t="s">
        <v>206</v>
      </c>
      <c r="D12" s="61"/>
      <c r="E12" s="67">
        <v>25</v>
      </c>
      <c r="F12" s="67"/>
      <c r="G12" s="67"/>
      <c r="H12" s="69"/>
      <c r="I12" s="70"/>
      <c r="J12" s="71"/>
      <c r="K12" s="58">
        <v>307.8</v>
      </c>
      <c r="L12" s="58">
        <v>1.04</v>
      </c>
      <c r="M12" s="58">
        <v>4.3</v>
      </c>
      <c r="N12" s="58">
        <v>17.600000000000001</v>
      </c>
      <c r="O12" s="58">
        <v>570.70000000000005</v>
      </c>
      <c r="P12" s="58">
        <v>977.7</v>
      </c>
      <c r="Q12" s="63">
        <f>O12/P12</f>
        <v>0.58371688657052268</v>
      </c>
      <c r="R12" s="64">
        <f t="shared" ref="R12" si="16">O12/1000*3600/($B$2*L12*273.15/(K12)*4/$B$1)</f>
        <v>12632.052083794515</v>
      </c>
      <c r="S12" s="64">
        <f t="shared" ref="S12" si="17">P12/1000*3600/($B$2*M12*273.15/(K12)*4/$B$1)</f>
        <v>5234.0339343437608</v>
      </c>
      <c r="T12" s="66" t="s">
        <v>193</v>
      </c>
      <c r="U12" s="65">
        <v>0.8</v>
      </c>
      <c r="V12" s="65">
        <v>0.75</v>
      </c>
      <c r="W12" s="58">
        <v>2</v>
      </c>
      <c r="X12" s="58">
        <v>2</v>
      </c>
      <c r="Y12" s="64">
        <f t="shared" ref="Y12" si="18">R12/W12/U12</f>
        <v>7895.0325523715719</v>
      </c>
      <c r="Z12" s="64">
        <f t="shared" ref="Z12" si="19">S12/X12/V12</f>
        <v>3489.3559562291739</v>
      </c>
      <c r="AB12" s="59"/>
      <c r="AC12" s="59"/>
      <c r="AD12" s="59"/>
      <c r="AE12" s="59"/>
      <c r="AF12" s="59"/>
      <c r="AG12" s="59"/>
      <c r="AI12" s="1" t="s">
        <v>51</v>
      </c>
      <c r="AJ12" s="1">
        <v>3.65</v>
      </c>
    </row>
    <row r="15" spans="1:36">
      <c r="C15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Summary</vt:lpstr>
      <vt:lpstr>Howden</vt:lpstr>
      <vt:lpstr>MYCOM</vt:lpstr>
      <vt:lpstr>comp efficiencies</vt:lpstr>
      <vt:lpstr>GEA</vt:lpstr>
      <vt:lpstr>Frick</vt:lpstr>
      <vt:lpstr>Aerzen</vt:lpstr>
      <vt:lpstr>Sheet1</vt:lpstr>
      <vt:lpstr>Sheet2</vt:lpstr>
      <vt:lpstr>Sheet3</vt:lpstr>
      <vt:lpstr>IsoT_LPL_MP</vt:lpstr>
      <vt:lpstr>IsoT_LPR_MP</vt:lpstr>
      <vt:lpstr>IsoT_MP_HP</vt:lpstr>
      <vt:lpstr>IsoT_ratio</vt:lpstr>
      <vt:lpstr>'comp efficiencies'!Print_Area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HELOIN, Vincent</dc:creator>
  <cp:lastModifiedBy>Vincent Heloin</cp:lastModifiedBy>
  <dcterms:created xsi:type="dcterms:W3CDTF">2015-03-13T16:06:03Z</dcterms:created>
  <dcterms:modified xsi:type="dcterms:W3CDTF">2015-04-18T09:01:39Z</dcterms:modified>
</cp:coreProperties>
</file>