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75" windowWidth="20400" windowHeight="8250"/>
  </bookViews>
  <sheets>
    <sheet name="Sheet1" sheetId="1" r:id="rId1"/>
  </sheets>
  <externalReferences>
    <externalReference r:id="rId2"/>
    <externalReference r:id="rId3"/>
  </externalReferences>
  <definedNames>
    <definedName name="AggA">'[1]p.4 - Operating Modes'!$V$11</definedName>
    <definedName name="AggB">'[1]p.4 - Operating Modes'!$W$11</definedName>
    <definedName name="CurFileName">'[1]p.1 - S4wSFC'!#REF!</definedName>
    <definedName name="pAggA">'[1]p.1 - S4wSFC'!$F$28</definedName>
    <definedName name="pAggB">'[1]p.2 - S38'!$F$26</definedName>
  </definedNames>
  <calcPr calcId="125725" calcOnSave="0"/>
</workbook>
</file>

<file path=xl/calcChain.xml><?xml version="1.0" encoding="utf-8"?>
<calcChain xmlns="http://schemas.openxmlformats.org/spreadsheetml/2006/main">
  <c r="P33" i="1"/>
  <c r="K31"/>
  <c r="J31"/>
  <c r="J29"/>
  <c r="K27"/>
  <c r="K26"/>
  <c r="X30"/>
  <c r="I26"/>
  <c r="U4"/>
  <c r="T4"/>
  <c r="T3"/>
  <c r="U3" s="1"/>
  <c r="Y20"/>
  <c r="Y19"/>
  <c r="J49"/>
  <c r="J47"/>
  <c r="O26" l="1"/>
  <c r="P32"/>
  <c r="O27"/>
  <c r="P28"/>
  <c r="P29"/>
  <c r="S4"/>
  <c r="S5" s="1"/>
  <c r="J48"/>
  <c r="J33"/>
  <c r="J45" s="1"/>
  <c r="J24"/>
  <c r="U22"/>
  <c r="U21"/>
  <c r="I10"/>
  <c r="L9"/>
  <c r="K9"/>
  <c r="M19"/>
  <c r="L19"/>
  <c r="E19"/>
  <c r="H19" s="1"/>
  <c r="H18" s="1"/>
  <c r="I57"/>
  <c r="I58" s="1"/>
  <c r="I45"/>
  <c r="I33"/>
  <c r="I38" s="1"/>
  <c r="I24"/>
  <c r="I6"/>
  <c r="L5"/>
  <c r="K5"/>
  <c r="I49"/>
  <c r="G47"/>
  <c r="I66"/>
  <c r="I47"/>
  <c r="G66"/>
  <c r="F66"/>
  <c r="F49"/>
  <c r="G49"/>
  <c r="H49"/>
  <c r="L49"/>
  <c r="F47"/>
  <c r="H66"/>
  <c r="E49"/>
  <c r="M49"/>
  <c r="P34" l="1"/>
  <c r="P35"/>
  <c r="F19"/>
  <c r="F18" s="1"/>
  <c r="I19"/>
  <c r="I18" s="1"/>
  <c r="K18" s="1"/>
  <c r="J19"/>
  <c r="J18" s="1"/>
  <c r="J30" s="1"/>
  <c r="K30" s="1"/>
  <c r="G19"/>
  <c r="G18" s="1"/>
  <c r="J20"/>
  <c r="J38"/>
  <c r="I48"/>
  <c r="E41"/>
  <c r="G65" s="1"/>
  <c r="G41"/>
  <c r="H41"/>
  <c r="F41"/>
  <c r="J43" l="1"/>
  <c r="J28"/>
  <c r="K28" s="1"/>
  <c r="F65"/>
  <c r="H65"/>
  <c r="F33"/>
  <c r="J41" l="1"/>
  <c r="J42" s="1"/>
  <c r="J51" s="1"/>
  <c r="H63"/>
  <c r="H57"/>
  <c r="H58" s="1"/>
  <c r="H62" s="1"/>
  <c r="J53"/>
  <c r="J52" l="1"/>
  <c r="H48"/>
  <c r="H45"/>
  <c r="H31"/>
  <c r="H29"/>
  <c r="H24"/>
  <c r="H20"/>
  <c r="M63"/>
  <c r="M57"/>
  <c r="M58" s="1"/>
  <c r="M62" s="1"/>
  <c r="H38" l="1"/>
  <c r="H43" s="1"/>
  <c r="H42" s="1"/>
  <c r="H51" s="1"/>
  <c r="M48"/>
  <c r="M41"/>
  <c r="M33"/>
  <c r="M45" s="1"/>
  <c r="M31"/>
  <c r="M29"/>
  <c r="M24"/>
  <c r="M20"/>
  <c r="H53"/>
  <c r="H52" l="1"/>
  <c r="M38"/>
  <c r="M43" s="1"/>
  <c r="M42" s="1"/>
  <c r="M51" s="1"/>
  <c r="L63"/>
  <c r="L57"/>
  <c r="L58" s="1"/>
  <c r="L62" s="1"/>
  <c r="M53"/>
  <c r="M52" l="1"/>
  <c r="L48"/>
  <c r="L41" l="1"/>
  <c r="L33"/>
  <c r="L45" s="1"/>
  <c r="L31"/>
  <c r="L29"/>
  <c r="L24"/>
  <c r="L20"/>
  <c r="E63"/>
  <c r="G57"/>
  <c r="G58" s="1"/>
  <c r="F57"/>
  <c r="F58" s="1"/>
  <c r="E57"/>
  <c r="E58" s="1"/>
  <c r="E62" s="1"/>
  <c r="L38" l="1"/>
  <c r="L43" s="1"/>
  <c r="L42" s="1"/>
  <c r="L51" s="1"/>
  <c r="E48"/>
  <c r="L53"/>
  <c r="L52" l="1"/>
  <c r="F48"/>
  <c r="G48"/>
  <c r="E45"/>
  <c r="F38"/>
  <c r="E38"/>
  <c r="E43" s="1"/>
  <c r="G33"/>
  <c r="G45" s="1"/>
  <c r="F45"/>
  <c r="E31"/>
  <c r="I31" s="1"/>
  <c r="E29"/>
  <c r="I29" s="1"/>
  <c r="I28" s="1"/>
  <c r="G24"/>
  <c r="F24"/>
  <c r="E24"/>
  <c r="E20"/>
  <c r="P18"/>
  <c r="G29"/>
  <c r="P15"/>
  <c r="I41" l="1"/>
  <c r="I65" s="1"/>
  <c r="E42"/>
  <c r="E51" s="1"/>
  <c r="F63"/>
  <c r="F62"/>
  <c r="G62"/>
  <c r="G63"/>
  <c r="F20"/>
  <c r="F31"/>
  <c r="G20"/>
  <c r="F29"/>
  <c r="G31"/>
  <c r="G38"/>
  <c r="G43" s="1"/>
  <c r="G42" s="1"/>
  <c r="G51" s="1"/>
  <c r="F43"/>
  <c r="F42" s="1"/>
  <c r="F51" s="1"/>
  <c r="F53"/>
  <c r="E53"/>
  <c r="G53"/>
  <c r="E52" l="1"/>
  <c r="F52"/>
  <c r="G52"/>
  <c r="I20" l="1"/>
  <c r="I62" l="1"/>
  <c r="I63"/>
  <c r="I43"/>
  <c r="I42" s="1"/>
  <c r="I51" s="1"/>
  <c r="I53"/>
  <c r="I52" l="1"/>
  <c r="I30"/>
</calcChain>
</file>

<file path=xl/sharedStrings.xml><?xml version="1.0" encoding="utf-8"?>
<sst xmlns="http://schemas.openxmlformats.org/spreadsheetml/2006/main" count="86" uniqueCount="76">
  <si>
    <t>I</t>
  </si>
  <si>
    <t>U</t>
  </si>
  <si>
    <t>cos phi</t>
  </si>
  <si>
    <t>A - S4</t>
  </si>
  <si>
    <t>P=3^1/3,U.I.cos(phi)</t>
  </si>
  <si>
    <t>Flow</t>
  </si>
  <si>
    <t>Q</t>
  </si>
  <si>
    <t>Mol Wgt</t>
  </si>
  <si>
    <t>Gamma</t>
  </si>
  <si>
    <t>Cp</t>
  </si>
  <si>
    <t>Pout / Pin</t>
  </si>
  <si>
    <t>T In</t>
  </si>
  <si>
    <t>P In</t>
  </si>
  <si>
    <t>P Out</t>
  </si>
  <si>
    <t>Mechanical Power at motor coupling</t>
  </si>
  <si>
    <t xml:space="preserve">Isothermal Efficiency </t>
  </si>
  <si>
    <t>Overall Power</t>
  </si>
  <si>
    <t>Overall Efficiency</t>
  </si>
  <si>
    <t>Cust max Water Temp</t>
  </si>
  <si>
    <t>dT Water/Oil</t>
  </si>
  <si>
    <t>dT Water/He</t>
  </si>
  <si>
    <t>Tout before after cooler</t>
  </si>
  <si>
    <t>T out</t>
  </si>
  <si>
    <t>Water Delta T</t>
  </si>
  <si>
    <t>Needed Overall Water Flow (Mech Power/DT)</t>
  </si>
  <si>
    <t>Water to cool oil</t>
  </si>
  <si>
    <t>Water to cool Helium</t>
  </si>
  <si>
    <t>Tin Oil</t>
  </si>
  <si>
    <t>cp oil</t>
  </si>
  <si>
    <t>Density (kg/m3)</t>
  </si>
  <si>
    <t>Kynematic Viscosity (cSt =10-6 m2/s = 1 mm2/s</t>
  </si>
  <si>
    <t>Oil Circuit</t>
  </si>
  <si>
    <t>Absolute Viscosity (Pa.s = 1 N s/m2 = 1 kg/m.s)</t>
  </si>
  <si>
    <t>L</t>
  </si>
  <si>
    <t>Elbow</t>
  </si>
  <si>
    <t>Needed Oil flow</t>
  </si>
  <si>
    <t>Din</t>
  </si>
  <si>
    <t>Pressure Drops</t>
  </si>
  <si>
    <t>T Out Adiab</t>
  </si>
  <si>
    <t>DT Adiab</t>
  </si>
  <si>
    <t>% Power</t>
  </si>
  <si>
    <t>Power T</t>
  </si>
  <si>
    <t>Power P</t>
  </si>
  <si>
    <t>Viscoity</t>
  </si>
  <si>
    <t>1 Pa.s = 1 N s/m2 = 1 kg/m.s</t>
  </si>
  <si>
    <t>The dynamic viscosity is also often expressed in the metric CGS (centimeter-gram-second) system as g/cm.s, dyne.s/cm2 or poise (p) where</t>
  </si>
  <si>
    <t>1 poise = 1 dyne s/cm2 = 1 g/cm.s = 1/10 Pa.s = 1/10 N.s/m2</t>
  </si>
  <si>
    <t>For practical use the Poise is to large and it's usual divided by 100 into the smaller unit called the centiPoise (cP) where</t>
  </si>
  <si>
    <t>1 cP = 0.01 poise = 0.01 gram per cm second = 0.001 Pascal second = 1 milliPascal second = 0.001 N.s/m2</t>
  </si>
  <si>
    <t>Kinematic Viscosity</t>
  </si>
  <si>
    <t>is the ratio of absolute or dynamic viscosity to density - a quantity in which no force is involved. Kinematic viscosity can be obtained by dividing the absolute viscosity of a fluid with it's mass density</t>
  </si>
  <si>
    <t xml:space="preserve">ν = μ / ρ </t>
  </si>
  <si>
    <t>ν = kinematic viscosity</t>
  </si>
  <si>
    <t>μ = absolute or dynamic viscosity</t>
  </si>
  <si>
    <t>ρ = density</t>
  </si>
  <si>
    <t>In the SI-system the theoretical unit is m2/s or commonly used Stoke (St) where</t>
  </si>
  <si>
    <t>1 St (Stokes) = 10-4 m2/s = 1 cm2/s</t>
  </si>
  <si>
    <t>1 cSt (centiStokes) = 10-6 m2/s = 1 mm2/s</t>
  </si>
  <si>
    <t>Conversion from absolute to kinematic viscosity can also be expressed as:</t>
  </si>
  <si>
    <t>ν = 6.7197 10-4 μ / γ</t>
  </si>
  <si>
    <t>B - S38</t>
  </si>
  <si>
    <t>Pin</t>
  </si>
  <si>
    <t>Tin</t>
  </si>
  <si>
    <t>Converge Water Température</t>
  </si>
  <si>
    <t>MPaG</t>
  </si>
  <si>
    <t>bar abs</t>
  </si>
  <si>
    <t xml:space="preserve">simplified </t>
  </si>
  <si>
    <t>kg/M3</t>
  </si>
  <si>
    <t>g/s</t>
  </si>
  <si>
    <t>Press atm</t>
  </si>
  <si>
    <t>mbar</t>
  </si>
  <si>
    <t xml:space="preserve">error </t>
  </si>
  <si>
    <t>20 mbar</t>
  </si>
  <si>
    <t>Pression entrée</t>
  </si>
  <si>
    <t>barg</t>
  </si>
  <si>
    <t>dP1/P1</t>
  </si>
</sst>
</file>

<file path=xl/styles.xml><?xml version="1.0" encoding="utf-8"?>
<styleSheet xmlns="http://schemas.openxmlformats.org/spreadsheetml/2006/main">
  <numFmts count="27">
    <numFmt numFmtId="43" formatCode="_-* #,##0.00\ _€_-;\-* #,##0.00\ _€_-;_-* &quot;-&quot;??\ _€_-;_-@_-"/>
    <numFmt numFmtId="164" formatCode="_-* #,##0\ _€_-;\-* #,##0\ _€_-;_-* &quot;-&quot;??\ _€_-;_-@_-"/>
    <numFmt numFmtId="165" formatCode="#,##0&quot; Hz&quot;"/>
    <numFmt numFmtId="166" formatCode="0\ &quot;g/s&quot;"/>
    <numFmt numFmtId="167" formatCode="0.0\ &quot;g/s&quot;"/>
    <numFmt numFmtId="168" formatCode="0.000\ &quot;m3/s&quot;"/>
    <numFmt numFmtId="169" formatCode="#,##0\ &quot;m3/h&quot;"/>
    <numFmt numFmtId="170" formatCode="0\ &quot;g/mol&quot;"/>
    <numFmt numFmtId="171" formatCode="0.0\ &quot;kJ/kg.K&quot;"/>
    <numFmt numFmtId="172" formatCode="0.0\ &quot;&quot;"/>
    <numFmt numFmtId="173" formatCode="0\ &quot;°C&quot;"/>
    <numFmt numFmtId="174" formatCode="0.00\ &quot;Bara&quot;"/>
    <numFmt numFmtId="175" formatCode="0\ &quot;kW&quot;"/>
    <numFmt numFmtId="176" formatCode="0.0%"/>
    <numFmt numFmtId="177" formatCode="0.0\ &quot;m3/h&quot;"/>
    <numFmt numFmtId="178" formatCode="#,##0.0&quot; m3/h&quot;"/>
    <numFmt numFmtId="179" formatCode="#,##0.00&quot; j/g.K&quot;"/>
    <numFmt numFmtId="180" formatCode="0.0"/>
    <numFmt numFmtId="181" formatCode="0.0000"/>
    <numFmt numFmtId="182" formatCode="#,##0&quot; g/s&quot;"/>
    <numFmt numFmtId="183" formatCode="#,##0&quot; m3/h&quot;"/>
    <numFmt numFmtId="184" formatCode="#,##0.00&quot; bar&quot;"/>
    <numFmt numFmtId="185" formatCode="0.00\ &quot;m3/h&quot;"/>
    <numFmt numFmtId="186" formatCode="0.0\ &quot;°C&quot;"/>
    <numFmt numFmtId="187" formatCode="0.00&quot; mbar&quot;"/>
    <numFmt numFmtId="188" formatCode="0.000\ &quot;Bara&quot;"/>
    <numFmt numFmtId="189" formatCode="0.000%"/>
  </numFmts>
  <fonts count="9"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/>
    </xf>
    <xf numFmtId="164" fontId="0" fillId="2" borderId="0" xfId="1" applyNumberFormat="1" applyFont="1" applyFill="1"/>
    <xf numFmtId="0" fontId="0" fillId="3" borderId="0" xfId="0" applyFill="1" applyAlignment="1">
      <alignment vertical="center"/>
    </xf>
    <xf numFmtId="165" fontId="0" fillId="2" borderId="0" xfId="0" applyNumberForma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vertical="center"/>
    </xf>
    <xf numFmtId="166" fontId="5" fillId="3" borderId="1" xfId="0" applyNumberFormat="1" applyFont="1" applyFill="1" applyBorder="1"/>
    <xf numFmtId="167" fontId="1" fillId="3" borderId="1" xfId="0" applyNumberFormat="1" applyFont="1" applyFill="1" applyBorder="1"/>
    <xf numFmtId="168" fontId="0" fillId="3" borderId="1" xfId="0" applyNumberFormat="1" applyFill="1" applyBorder="1"/>
    <xf numFmtId="169" fontId="0" fillId="3" borderId="1" xfId="0" applyNumberFormat="1" applyFill="1" applyBorder="1"/>
    <xf numFmtId="170" fontId="0" fillId="3" borderId="1" xfId="0" applyNumberFormat="1" applyFill="1" applyBorder="1"/>
    <xf numFmtId="0" fontId="0" fillId="3" borderId="1" xfId="0" applyFill="1" applyBorder="1"/>
    <xf numFmtId="171" fontId="0" fillId="3" borderId="1" xfId="0" applyNumberFormat="1" applyFill="1" applyBorder="1"/>
    <xf numFmtId="172" fontId="6" fillId="3" borderId="1" xfId="0" applyNumberFormat="1" applyFont="1" applyFill="1" applyBorder="1"/>
    <xf numFmtId="173" fontId="5" fillId="3" borderId="1" xfId="0" applyNumberFormat="1" applyFont="1" applyFill="1" applyBorder="1"/>
    <xf numFmtId="174" fontId="5" fillId="3" borderId="1" xfId="0" applyNumberFormat="1" applyFont="1" applyFill="1" applyBorder="1"/>
    <xf numFmtId="175" fontId="5" fillId="3" borderId="1" xfId="0" applyNumberFormat="1" applyFont="1" applyFill="1" applyBorder="1" applyAlignment="1">
      <alignment horizontal="right"/>
    </xf>
    <xf numFmtId="176" fontId="1" fillId="3" borderId="1" xfId="2" applyNumberFormat="1" applyFont="1" applyFill="1" applyBorder="1"/>
    <xf numFmtId="0" fontId="4" fillId="3" borderId="1" xfId="0" applyFont="1" applyFill="1" applyBorder="1" applyAlignment="1">
      <alignment vertical="center" wrapText="1"/>
    </xf>
    <xf numFmtId="173" fontId="1" fillId="3" borderId="1" xfId="0" applyNumberFormat="1" applyFont="1" applyFill="1" applyBorder="1"/>
    <xf numFmtId="177" fontId="0" fillId="3" borderId="1" xfId="0" applyNumberFormat="1" applyFill="1" applyBorder="1"/>
    <xf numFmtId="178" fontId="0" fillId="3" borderId="1" xfId="0" applyNumberFormat="1" applyFill="1" applyBorder="1"/>
    <xf numFmtId="179" fontId="0" fillId="3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180" fontId="0" fillId="2" borderId="1" xfId="0" applyNumberFormat="1" applyFill="1" applyBorder="1"/>
    <xf numFmtId="181" fontId="0" fillId="2" borderId="1" xfId="0" applyNumberFormat="1" applyFill="1" applyBorder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82" fontId="0" fillId="3" borderId="1" xfId="0" applyNumberFormat="1" applyFill="1" applyBorder="1"/>
    <xf numFmtId="183" fontId="0" fillId="3" borderId="1" xfId="0" applyNumberFormat="1" applyFill="1" applyBorder="1"/>
    <xf numFmtId="184" fontId="1" fillId="3" borderId="1" xfId="0" applyNumberFormat="1" applyFont="1" applyFill="1" applyBorder="1"/>
    <xf numFmtId="9" fontId="1" fillId="3" borderId="1" xfId="2" applyFill="1" applyBorder="1" applyAlignment="1">
      <alignment horizontal="center"/>
    </xf>
    <xf numFmtId="175" fontId="0" fillId="3" borderId="1" xfId="0" applyNumberFormat="1" applyFill="1" applyBorder="1"/>
    <xf numFmtId="0" fontId="7" fillId="2" borderId="0" xfId="0" applyFont="1" applyFill="1"/>
    <xf numFmtId="0" fontId="1" fillId="2" borderId="0" xfId="0" applyFont="1" applyFill="1" applyAlignment="1">
      <alignment horizontal="left" indent="2"/>
    </xf>
    <xf numFmtId="174" fontId="5" fillId="4" borderId="1" xfId="0" applyNumberFormat="1" applyFont="1" applyFill="1" applyBorder="1"/>
    <xf numFmtId="177" fontId="0" fillId="4" borderId="1" xfId="0" applyNumberFormat="1" applyFill="1" applyBorder="1"/>
    <xf numFmtId="185" fontId="0" fillId="4" borderId="1" xfId="0" applyNumberFormat="1" applyFill="1" applyBorder="1"/>
    <xf numFmtId="186" fontId="8" fillId="3" borderId="1" xfId="0" applyNumberFormat="1" applyFont="1" applyFill="1" applyBorder="1"/>
    <xf numFmtId="174" fontId="5" fillId="5" borderId="1" xfId="0" applyNumberFormat="1" applyFont="1" applyFill="1" applyBorder="1"/>
    <xf numFmtId="167" fontId="5" fillId="3" borderId="1" xfId="0" applyNumberFormat="1" applyFont="1" applyFill="1" applyBorder="1"/>
    <xf numFmtId="185" fontId="0" fillId="4" borderId="1" xfId="0" applyNumberFormat="1" applyFont="1" applyFill="1" applyBorder="1"/>
    <xf numFmtId="178" fontId="0" fillId="3" borderId="1" xfId="0" applyNumberFormat="1" applyFont="1" applyFill="1" applyBorder="1"/>
    <xf numFmtId="173" fontId="5" fillId="6" borderId="1" xfId="0" applyNumberFormat="1" applyFont="1" applyFill="1" applyBorder="1"/>
    <xf numFmtId="173" fontId="1" fillId="6" borderId="1" xfId="0" applyNumberFormat="1" applyFont="1" applyFill="1" applyBorder="1"/>
    <xf numFmtId="0" fontId="0" fillId="7" borderId="0" xfId="0" applyFill="1"/>
    <xf numFmtId="175" fontId="0" fillId="3" borderId="1" xfId="0" applyNumberFormat="1" applyFont="1" applyFill="1" applyBorder="1" applyAlignment="1">
      <alignment horizontal="right"/>
    </xf>
    <xf numFmtId="176" fontId="3" fillId="4" borderId="1" xfId="2" applyNumberFormat="1" applyFont="1" applyFill="1" applyBorder="1"/>
    <xf numFmtId="174" fontId="5" fillId="2" borderId="1" xfId="0" applyNumberFormat="1" applyFont="1" applyFill="1" applyBorder="1"/>
    <xf numFmtId="176" fontId="0" fillId="2" borderId="0" xfId="5" applyNumberFormat="1" applyFont="1" applyFill="1"/>
    <xf numFmtId="187" fontId="0" fillId="2" borderId="0" xfId="0" applyNumberFormat="1" applyFill="1" applyAlignment="1">
      <alignment horizontal="center"/>
    </xf>
    <xf numFmtId="188" fontId="5" fillId="3" borderId="1" xfId="0" applyNumberFormat="1" applyFont="1" applyFill="1" applyBorder="1"/>
    <xf numFmtId="10" fontId="0" fillId="2" borderId="0" xfId="5" applyNumberFormat="1" applyFont="1" applyFill="1"/>
    <xf numFmtId="176" fontId="0" fillId="2" borderId="0" xfId="0" applyNumberFormat="1" applyFill="1"/>
    <xf numFmtId="189" fontId="0" fillId="2" borderId="0" xfId="5" applyNumberFormat="1" applyFont="1" applyFill="1"/>
    <xf numFmtId="189" fontId="0" fillId="2" borderId="0" xfId="0" applyNumberFormat="1" applyFill="1"/>
  </cellXfs>
  <cellStyles count="6">
    <cellStyle name="Comma" xfId="1" builtinId="3"/>
    <cellStyle name="Normal" xfId="0" builtinId="0"/>
    <cellStyle name="Normal 2" xfId="3"/>
    <cellStyle name="Percent" xfId="5" builtinId="5"/>
    <cellStyle name="Percent 2" xfId="2"/>
    <cellStyle name="Pourcentage 2" xfId="4"/>
  </cellStyles>
  <dxfs count="0"/>
  <tableStyles count="0" defaultTableStyle="TableStyleMedium9" defaultPivotStyle="PivotStyleLight16"/>
  <colors>
    <mruColors>
      <color rgb="FF0000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268941</xdr:colOff>
      <xdr:row>0</xdr:row>
      <xdr:rowOff>0</xdr:rowOff>
    </xdr:from>
    <xdr:to>
      <xdr:col>7</xdr:col>
      <xdr:colOff>42023</xdr:colOff>
      <xdr:row>13</xdr:row>
      <xdr:rowOff>87114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4016" y="0"/>
          <a:ext cx="6516782" cy="21921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437029</xdr:colOff>
      <xdr:row>54</xdr:row>
      <xdr:rowOff>112058</xdr:rowOff>
    </xdr:from>
    <xdr:to>
      <xdr:col>22</xdr:col>
      <xdr:colOff>63312</xdr:colOff>
      <xdr:row>83</xdr:row>
      <xdr:rowOff>124945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24604" y="8856008"/>
          <a:ext cx="4884084" cy="4708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355387</xdr:colOff>
      <xdr:row>10</xdr:row>
      <xdr:rowOff>104854</xdr:rowOff>
    </xdr:from>
    <xdr:to>
      <xdr:col>28</xdr:col>
      <xdr:colOff>550373</xdr:colOff>
      <xdr:row>15</xdr:row>
      <xdr:rowOff>23211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298681" y="1673678"/>
          <a:ext cx="7232280" cy="7027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78441</xdr:colOff>
      <xdr:row>35</xdr:row>
      <xdr:rowOff>56030</xdr:rowOff>
    </xdr:from>
    <xdr:to>
      <xdr:col>18</xdr:col>
      <xdr:colOff>440391</xdr:colOff>
      <xdr:row>46</xdr:row>
      <xdr:rowOff>122705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035617" y="5546912"/>
          <a:ext cx="2558303" cy="17923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ncent.heloin/Documents/1000913-C1243-JT-60SA/Dossier%20de%20definition/02-SP%20Specifications/C1243-SP-210-Machine%20-%20Compressor%20station/C1243-SP-210(1)/Material/C1243-SP-210-A1(1-old)%20-%20Operating%20condi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ncent.heloin/Desktop/Shortcuts/macro_vh_97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.1 - S4wSFC"/>
      <sheetName val="Sheet1"/>
      <sheetName val="p.2 - S38"/>
      <sheetName val="p.3 - Flow range"/>
      <sheetName val="p.4 - Operating Modes"/>
      <sheetName val="Sheet2"/>
      <sheetName val="Sheet3"/>
    </sheetNames>
    <sheetDataSet>
      <sheetData sheetId="0">
        <row r="28">
          <cell r="F28">
            <v>321</v>
          </cell>
        </row>
      </sheetData>
      <sheetData sheetId="1" refreshError="1"/>
      <sheetData sheetId="2">
        <row r="26">
          <cell r="F26">
            <v>269</v>
          </cell>
        </row>
      </sheetData>
      <sheetData sheetId="3" refreshError="1"/>
      <sheetData sheetId="4">
        <row r="11">
          <cell r="V11">
            <v>92.5</v>
          </cell>
          <cell r="W11">
            <v>76.7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DP_mbar_iter"/>
      <definedName name="mu_"/>
      <definedName name="rho_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B3:Y93"/>
  <sheetViews>
    <sheetView tabSelected="1" topLeftCell="E1" zoomScale="85" zoomScaleNormal="85" workbookViewId="0">
      <selection activeCell="N10" sqref="N9:N10"/>
    </sheetView>
  </sheetViews>
  <sheetFormatPr defaultRowHeight="12.75"/>
  <cols>
    <col min="1" max="2" width="9.140625" style="1"/>
    <col min="3" max="3" width="19.28515625" style="1" bestFit="1" customWidth="1"/>
    <col min="4" max="4" width="47.42578125" style="1" customWidth="1"/>
    <col min="5" max="5" width="23.5703125" style="1" customWidth="1"/>
    <col min="6" max="6" width="12.140625" style="1" customWidth="1"/>
    <col min="7" max="7" width="18" style="1" customWidth="1"/>
    <col min="8" max="8" width="12.42578125" style="1" bestFit="1" customWidth="1"/>
    <col min="9" max="9" width="15.85546875" style="1" customWidth="1"/>
    <col min="10" max="10" width="13.42578125" style="1" customWidth="1"/>
    <col min="11" max="11" width="14.28515625" style="1" customWidth="1"/>
    <col min="12" max="12" width="14.28515625" style="1" bestFit="1" customWidth="1"/>
    <col min="13" max="13" width="12.42578125" style="1" bestFit="1" customWidth="1"/>
    <col min="14" max="15" width="9.140625" style="1"/>
    <col min="16" max="16" width="14.7109375" style="1" customWidth="1"/>
    <col min="17" max="22" width="9.140625" style="1"/>
    <col min="23" max="23" width="14.85546875" style="1" customWidth="1"/>
    <col min="24" max="16384" width="9.140625" style="1"/>
  </cols>
  <sheetData>
    <row r="3" spans="3:21">
      <c r="S3" s="1">
        <v>0.5</v>
      </c>
      <c r="T3" s="1">
        <f>S3-1.013</f>
        <v>-0.5129999999999999</v>
      </c>
      <c r="U3" s="1">
        <f>T3/10</f>
        <v>-5.1299999999999991E-2</v>
      </c>
    </row>
    <row r="4" spans="3:21">
      <c r="I4" s="8" t="s">
        <v>65</v>
      </c>
      <c r="J4" s="1" t="s">
        <v>69</v>
      </c>
      <c r="K4" s="8" t="s">
        <v>64</v>
      </c>
      <c r="L4" s="1" t="s">
        <v>66</v>
      </c>
      <c r="S4" s="1">
        <f>T4+1.013</f>
        <v>0.5129999999999999</v>
      </c>
      <c r="T4" s="1">
        <f>S3-1</f>
        <v>-0.5</v>
      </c>
      <c r="U4" s="1">
        <f>T4/10</f>
        <v>-0.05</v>
      </c>
    </row>
    <row r="5" spans="3:21">
      <c r="I5" s="8">
        <v>1.05</v>
      </c>
      <c r="J5" s="55">
        <v>13</v>
      </c>
      <c r="K5" s="8">
        <f>(I5-1.013)/10</f>
        <v>3.7000000000000145E-3</v>
      </c>
      <c r="L5" s="8">
        <f>(I5-1)/10</f>
        <v>5.0000000000000044E-3</v>
      </c>
      <c r="S5" s="57">
        <f>(S4-S3)/S3</f>
        <v>2.5999999999999801E-2</v>
      </c>
    </row>
    <row r="6" spans="3:21">
      <c r="I6" s="8">
        <f>K6*10+1.013</f>
        <v>1.0629999999999999</v>
      </c>
      <c r="J6" s="55"/>
      <c r="K6" s="1">
        <v>5.0000000000000001E-3</v>
      </c>
    </row>
    <row r="8" spans="3:21">
      <c r="I8" s="8" t="s">
        <v>65</v>
      </c>
      <c r="K8" s="8" t="s">
        <v>64</v>
      </c>
      <c r="L8" s="1" t="s">
        <v>66</v>
      </c>
    </row>
    <row r="9" spans="3:21">
      <c r="I9" s="8">
        <v>16</v>
      </c>
      <c r="K9" s="8">
        <f>(I9-1.013)/10</f>
        <v>1.4986999999999999</v>
      </c>
      <c r="L9" s="8">
        <f>(I9-1)/10</f>
        <v>1.5</v>
      </c>
    </row>
    <row r="10" spans="3:21">
      <c r="I10" s="8">
        <f>K10*10+1.013</f>
        <v>16.012999999999998</v>
      </c>
      <c r="K10" s="1">
        <v>1.5</v>
      </c>
    </row>
    <row r="11" spans="3:21">
      <c r="O11" s="2" t="s">
        <v>0</v>
      </c>
      <c r="P11" s="1">
        <v>1007</v>
      </c>
      <c r="R11" s="1" t="s">
        <v>61</v>
      </c>
    </row>
    <row r="12" spans="3:21">
      <c r="O12" s="2" t="s">
        <v>1</v>
      </c>
      <c r="P12" s="1">
        <v>400</v>
      </c>
      <c r="R12" s="1" t="s">
        <v>62</v>
      </c>
    </row>
    <row r="13" spans="3:21">
      <c r="O13" s="2" t="s">
        <v>2</v>
      </c>
      <c r="P13" s="1">
        <v>0.87</v>
      </c>
    </row>
    <row r="15" spans="3:21">
      <c r="E15" s="3" t="s">
        <v>3</v>
      </c>
      <c r="F15" s="3" t="s">
        <v>3</v>
      </c>
      <c r="G15" s="3" t="s">
        <v>3</v>
      </c>
      <c r="H15" s="3" t="s">
        <v>3</v>
      </c>
      <c r="I15" s="3" t="s">
        <v>3</v>
      </c>
      <c r="J15" s="3" t="s">
        <v>3</v>
      </c>
      <c r="L15" s="3" t="s">
        <v>60</v>
      </c>
      <c r="M15" s="3" t="s">
        <v>60</v>
      </c>
      <c r="O15" t="s">
        <v>4</v>
      </c>
      <c r="P15" s="4">
        <f>P12*P11*3^0.5*P13</f>
        <v>606972.95680120704</v>
      </c>
    </row>
    <row r="16" spans="3:21">
      <c r="C16" s="5"/>
      <c r="D16" s="5"/>
      <c r="E16" s="6">
        <v>50</v>
      </c>
      <c r="F16" s="7">
        <v>35</v>
      </c>
      <c r="G16" s="7">
        <v>25</v>
      </c>
      <c r="H16" s="6">
        <v>50</v>
      </c>
      <c r="I16" s="7">
        <v>50</v>
      </c>
      <c r="J16" s="7">
        <v>50</v>
      </c>
      <c r="L16" s="6">
        <v>50</v>
      </c>
      <c r="M16" s="6">
        <v>50</v>
      </c>
    </row>
    <row r="17" spans="4:25">
      <c r="E17" s="8"/>
      <c r="F17" s="8"/>
      <c r="G17" s="8"/>
      <c r="H17" s="8"/>
      <c r="I17" s="8"/>
      <c r="J17" s="8"/>
      <c r="L17" s="8"/>
      <c r="M17" s="8"/>
    </row>
    <row r="18" spans="4:25">
      <c r="D18" s="9" t="s">
        <v>5</v>
      </c>
      <c r="E18" s="45">
        <v>92.5</v>
      </c>
      <c r="F18" s="11">
        <f>F26*10^5*F21/(8.314*(F25+273.15))*F19</f>
        <v>64.75</v>
      </c>
      <c r="G18" s="11">
        <f t="shared" ref="G18:J18" si="0">G26*10^5*G21/(8.314*(G25+273.15))*G19</f>
        <v>46.249999999999993</v>
      </c>
      <c r="H18" s="11">
        <f t="shared" si="0"/>
        <v>92.499999999999986</v>
      </c>
      <c r="I18" s="11">
        <f t="shared" si="0"/>
        <v>93.821428571428569</v>
      </c>
      <c r="J18" s="11">
        <f t="shared" si="0"/>
        <v>93.821428571428569</v>
      </c>
      <c r="K18" s="54">
        <f>I18/E18-1</f>
        <v>1.4285714285714235E-2</v>
      </c>
      <c r="L18" s="10">
        <v>76.7</v>
      </c>
      <c r="M18" s="10">
        <v>77.400000000000006</v>
      </c>
      <c r="P18" s="1">
        <f>330+250</f>
        <v>580</v>
      </c>
    </row>
    <row r="19" spans="4:25">
      <c r="D19" s="9" t="s">
        <v>6</v>
      </c>
      <c r="E19" s="12">
        <f>E18*8.314*(E25+273.15)/(E26*10^5*E21)</f>
        <v>0.5532546351190476</v>
      </c>
      <c r="F19" s="12">
        <f>F16*$E$19/$E$16</f>
        <v>0.38727824458333332</v>
      </c>
      <c r="G19" s="12">
        <f>G16*$E$19/$E$16</f>
        <v>0.2766273175595238</v>
      </c>
      <c r="H19" s="12">
        <f>H16*$E$19/$E$16</f>
        <v>0.5532546351190476</v>
      </c>
      <c r="I19" s="12">
        <f>I16*$E$19/$E$16</f>
        <v>0.5532546351190476</v>
      </c>
      <c r="J19" s="12">
        <f>J16*$E$19/$E$16</f>
        <v>0.5532546351190476</v>
      </c>
      <c r="K19" s="54"/>
      <c r="L19" s="12">
        <f t="shared" ref="L19:M19" si="1">L18*8.314*(L25+273.15)/(L26*10^5*L21)</f>
        <v>0.45875276230952378</v>
      </c>
      <c r="M19" s="12">
        <f t="shared" si="1"/>
        <v>0.46293955414285709</v>
      </c>
      <c r="U19" s="1">
        <v>1024</v>
      </c>
      <c r="W19" s="1">
        <v>1050</v>
      </c>
      <c r="Y19" s="1">
        <f>U19-1010</f>
        <v>14</v>
      </c>
    </row>
    <row r="20" spans="4:25">
      <c r="D20" s="9" t="s">
        <v>6</v>
      </c>
      <c r="E20" s="13">
        <f t="shared" ref="E20:J20" si="2">E19*3600</f>
        <v>1991.7166864285714</v>
      </c>
      <c r="F20" s="13">
        <f t="shared" si="2"/>
        <v>1394.2016804999998</v>
      </c>
      <c r="G20" s="13">
        <f t="shared" si="2"/>
        <v>995.8583432142857</v>
      </c>
      <c r="H20" s="13">
        <f t="shared" si="2"/>
        <v>1991.7166864285714</v>
      </c>
      <c r="I20" s="13">
        <f t="shared" si="2"/>
        <v>1991.7166864285714</v>
      </c>
      <c r="J20" s="13">
        <f t="shared" si="2"/>
        <v>1991.7166864285714</v>
      </c>
      <c r="K20" s="54"/>
      <c r="L20" s="13">
        <f>L19*3600</f>
        <v>1651.5099443142856</v>
      </c>
      <c r="M20" s="13">
        <f>M19*3600</f>
        <v>1666.5823949142855</v>
      </c>
      <c r="U20" s="1">
        <v>977</v>
      </c>
      <c r="Y20" s="1">
        <f>U20-1010</f>
        <v>-33</v>
      </c>
    </row>
    <row r="21" spans="4:25">
      <c r="D21" s="9" t="s">
        <v>7</v>
      </c>
      <c r="E21" s="14">
        <v>4</v>
      </c>
      <c r="F21" s="14">
        <v>4</v>
      </c>
      <c r="G21" s="14">
        <v>4</v>
      </c>
      <c r="H21" s="14">
        <v>4</v>
      </c>
      <c r="I21" s="14">
        <v>4</v>
      </c>
      <c r="J21" s="14">
        <v>4</v>
      </c>
      <c r="K21" s="54"/>
      <c r="L21" s="14">
        <v>4</v>
      </c>
      <c r="M21" s="14">
        <v>4</v>
      </c>
      <c r="U21" s="1">
        <f>U19-U20</f>
        <v>47</v>
      </c>
      <c r="V21" s="1" t="s">
        <v>70</v>
      </c>
      <c r="Y21" s="1" t="s">
        <v>71</v>
      </c>
    </row>
    <row r="22" spans="4:25">
      <c r="D22" s="9" t="s">
        <v>8</v>
      </c>
      <c r="E22" s="15">
        <v>1.66</v>
      </c>
      <c r="F22" s="15">
        <v>1.66</v>
      </c>
      <c r="G22" s="15">
        <v>1.66</v>
      </c>
      <c r="H22" s="15">
        <v>1.66</v>
      </c>
      <c r="I22" s="15">
        <v>1.66</v>
      </c>
      <c r="J22" s="15">
        <v>1.66</v>
      </c>
      <c r="K22" s="54"/>
      <c r="L22" s="15">
        <v>1.66</v>
      </c>
      <c r="M22" s="15">
        <v>1.66</v>
      </c>
      <c r="U22" s="1">
        <f>AVERAGE(U19:U20)</f>
        <v>1000.5</v>
      </c>
      <c r="Y22" s="1" t="s">
        <v>72</v>
      </c>
    </row>
    <row r="23" spans="4:25">
      <c r="D23" s="9" t="s">
        <v>9</v>
      </c>
      <c r="E23" s="16">
        <v>5.2</v>
      </c>
      <c r="F23" s="16">
        <v>5.2</v>
      </c>
      <c r="G23" s="16">
        <v>5.2</v>
      </c>
      <c r="H23" s="16">
        <v>5.2</v>
      </c>
      <c r="I23" s="16">
        <v>5.2</v>
      </c>
      <c r="J23" s="16">
        <v>5.2</v>
      </c>
      <c r="K23" s="54"/>
      <c r="L23" s="16">
        <v>5.2</v>
      </c>
      <c r="M23" s="16">
        <v>5.2</v>
      </c>
    </row>
    <row r="24" spans="4:25">
      <c r="D24" s="9" t="s">
        <v>10</v>
      </c>
      <c r="E24" s="17">
        <f t="shared" ref="E24:J24" si="3">E27/E26</f>
        <v>15.238095238095237</v>
      </c>
      <c r="F24" s="17">
        <f t="shared" si="3"/>
        <v>15.238095238095237</v>
      </c>
      <c r="G24" s="17">
        <f t="shared" si="3"/>
        <v>15.238095238095237</v>
      </c>
      <c r="H24" s="17">
        <f t="shared" si="3"/>
        <v>15.238095238095237</v>
      </c>
      <c r="I24" s="17">
        <f t="shared" si="3"/>
        <v>15.035680751173711</v>
      </c>
      <c r="J24" s="17">
        <f t="shared" si="3"/>
        <v>15.023474178403756</v>
      </c>
      <c r="K24" s="54"/>
      <c r="L24" s="17">
        <f>L27/L26</f>
        <v>15.238095238095237</v>
      </c>
      <c r="M24" s="17">
        <f>M27/M26</f>
        <v>13.333333333333332</v>
      </c>
    </row>
    <row r="25" spans="4:25">
      <c r="D25" s="9" t="s">
        <v>11</v>
      </c>
      <c r="E25" s="18">
        <v>29</v>
      </c>
      <c r="F25" s="18">
        <v>29</v>
      </c>
      <c r="G25" s="18">
        <v>29</v>
      </c>
      <c r="H25" s="18">
        <v>29</v>
      </c>
      <c r="I25" s="18">
        <v>29</v>
      </c>
      <c r="J25" s="18">
        <v>29</v>
      </c>
      <c r="K25" s="54"/>
      <c r="L25" s="18">
        <v>29</v>
      </c>
      <c r="M25" s="18">
        <v>29</v>
      </c>
    </row>
    <row r="26" spans="4:25">
      <c r="D26" s="9" t="s">
        <v>12</v>
      </c>
      <c r="E26" s="19">
        <v>1.05</v>
      </c>
      <c r="F26" s="19">
        <v>1.05</v>
      </c>
      <c r="G26" s="19">
        <v>1.05</v>
      </c>
      <c r="H26" s="19">
        <v>1.05</v>
      </c>
      <c r="I26" s="56">
        <f>1.05 + 15/1000</f>
        <v>1.0649999999999999</v>
      </c>
      <c r="J26" s="19">
        <v>1.0649999999999999</v>
      </c>
      <c r="K26" s="54">
        <f>J26/E26-1</f>
        <v>1.4285714285714235E-2</v>
      </c>
      <c r="L26" s="19">
        <v>1.05</v>
      </c>
      <c r="M26" s="19">
        <v>1.05</v>
      </c>
      <c r="O26" s="58">
        <f>K26-K26/2</f>
        <v>7.1428571428571175E-3</v>
      </c>
    </row>
    <row r="27" spans="4:25">
      <c r="D27" s="9" t="s">
        <v>13</v>
      </c>
      <c r="E27" s="40">
        <v>16</v>
      </c>
      <c r="F27" s="40">
        <v>16</v>
      </c>
      <c r="G27" s="40">
        <v>16</v>
      </c>
      <c r="H27" s="44">
        <v>16</v>
      </c>
      <c r="I27" s="53">
        <v>16.013000000000002</v>
      </c>
      <c r="J27" s="53">
        <v>16</v>
      </c>
      <c r="K27" s="54">
        <f>J27/E27-1</f>
        <v>0</v>
      </c>
      <c r="L27" s="40">
        <v>16</v>
      </c>
      <c r="M27" s="44">
        <v>14</v>
      </c>
      <c r="O27" s="1">
        <f>LN(K26)</f>
        <v>-4.2484952420493629</v>
      </c>
    </row>
    <row r="28" spans="4:25">
      <c r="D28" s="9" t="s">
        <v>14</v>
      </c>
      <c r="E28" s="20">
        <v>293.39999999999998</v>
      </c>
      <c r="F28" s="20">
        <v>205</v>
      </c>
      <c r="G28" s="20">
        <v>205</v>
      </c>
      <c r="H28" s="20">
        <v>265</v>
      </c>
      <c r="I28" s="51">
        <f>(I18*8.314/I21*(I25+273.15)*LN(I27/I26)/1000)/I29</f>
        <v>296.13040608914497</v>
      </c>
      <c r="J28" s="51">
        <f>(J18*8.314/J21*(J25+273.15)*LN(J27/J26)/1000)/J29</f>
        <v>296.04167160481535</v>
      </c>
      <c r="K28" s="59">
        <f>J28/E28-1</f>
        <v>9.0036523681504832E-3</v>
      </c>
      <c r="L28" s="20">
        <v>253</v>
      </c>
      <c r="M28" s="20">
        <v>230</v>
      </c>
      <c r="P28" s="57">
        <f>J19*J21/1000*K26*(LN(J27*10^5)-LN(K26))</f>
        <v>5.8594437851873407E-4</v>
      </c>
    </row>
    <row r="29" spans="4:25">
      <c r="D29" s="9" t="s">
        <v>15</v>
      </c>
      <c r="E29" s="21">
        <f>(E18*8.314/E21*(E25+273.15)*LN(E27/E26)/1000)/E28</f>
        <v>0.53929852973829207</v>
      </c>
      <c r="F29" s="21">
        <f>(F18*8.314/F21*(F25+273.15)*LN(F27/F26)/1000)/F28</f>
        <v>0.54029820506170934</v>
      </c>
      <c r="G29" s="21">
        <f>(G18*8.314/G21*(G25+273.15)*LN(G27/G26)/1000)/G28</f>
        <v>0.38592728932979231</v>
      </c>
      <c r="H29" s="21">
        <f>(H18*8.314/H21*(H25+273.15)*LN(H27/H26)/1000)/H28</f>
        <v>0.59709505141590513</v>
      </c>
      <c r="I29" s="52">
        <f>E29</f>
        <v>0.53929852973829207</v>
      </c>
      <c r="J29" s="52">
        <f>E29</f>
        <v>0.53929852973829207</v>
      </c>
      <c r="L29" s="21">
        <f>(L18*8.314/L21*(L25+273.15)*LN(L27/L26)/1000)/L28</f>
        <v>0.51858799134938494</v>
      </c>
      <c r="M29" s="21">
        <f>(M18*8.314/M21*(M25+273.15)*LN(M27/M26)/1000)/M28</f>
        <v>0.54743216652890958</v>
      </c>
      <c r="P29" s="1">
        <f>E19*J21*(LN(E27/E26)-1)*K26</f>
        <v>5.4497116700797023E-2</v>
      </c>
    </row>
    <row r="30" spans="4:25">
      <c r="D30" s="9" t="s">
        <v>16</v>
      </c>
      <c r="E30" s="20">
        <v>321</v>
      </c>
      <c r="F30" s="20">
        <v>225</v>
      </c>
      <c r="G30" s="20">
        <v>225</v>
      </c>
      <c r="H30" s="20">
        <v>290</v>
      </c>
      <c r="I30" s="20">
        <f>(I18*8.314/I21*(I25+273.15)*LN(I27/I26)/1000)/I31</f>
        <v>323.9872541057108</v>
      </c>
      <c r="J30" s="20">
        <f>(J18*8.314/J21*(J25+273.15)*LN(J27/J26)/1000)/J31</f>
        <v>323.89017241017632</v>
      </c>
      <c r="K30" s="59">
        <f>J30/E30-1</f>
        <v>9.0036523681504832E-3</v>
      </c>
      <c r="L30" s="20">
        <v>269</v>
      </c>
      <c r="M30" s="20">
        <v>257</v>
      </c>
      <c r="W30" s="1" t="s">
        <v>73</v>
      </c>
      <c r="X30" s="1">
        <f>1.05-1</f>
        <v>5.0000000000000044E-2</v>
      </c>
      <c r="Y30" s="1" t="s">
        <v>74</v>
      </c>
    </row>
    <row r="31" spans="4:25">
      <c r="D31" s="9" t="s">
        <v>17</v>
      </c>
      <c r="E31" s="21">
        <f>(E18*8.314/E21*(E25+273.15)*LN(E27/E26)/1000)/E30</f>
        <v>0.49292893652714914</v>
      </c>
      <c r="F31" s="21">
        <f>(F18*8.314/F21*(F25+273.15)*LN(F27/F26)/1000)/F30</f>
        <v>0.49227169794511294</v>
      </c>
      <c r="G31" s="21">
        <f>(G18*8.314/G21*(G25+273.15)*LN(G27/G26)/1000)/G30</f>
        <v>0.35162264138936633</v>
      </c>
      <c r="H31" s="21">
        <f>(H18*8.314/H21*(H25+273.15)*LN(H27/H26)/1000)/H30</f>
        <v>0.54562134008694774</v>
      </c>
      <c r="I31" s="21">
        <f>E31</f>
        <v>0.49292893652714914</v>
      </c>
      <c r="J31" s="21">
        <f>I31</f>
        <v>0.49292893652714914</v>
      </c>
      <c r="K31" s="57">
        <f>J31/E31-1</f>
        <v>0</v>
      </c>
      <c r="L31" s="21">
        <f>(L18*8.314/L21*(L25+273.15)*LN(L27/L26)/1000)/L30</f>
        <v>0.48774260896429145</v>
      </c>
      <c r="M31" s="21">
        <f>(M18*8.314/M21*(M25+273.15)*LN(M27/M26)/1000)/M30</f>
        <v>0.48991983774960779</v>
      </c>
    </row>
    <row r="32" spans="4:25">
      <c r="P32" s="58">
        <f>K26</f>
        <v>1.4285714285714235E-2</v>
      </c>
      <c r="Q32" s="1" t="s">
        <v>75</v>
      </c>
    </row>
    <row r="33" spans="4:21">
      <c r="D33" s="22" t="s">
        <v>18</v>
      </c>
      <c r="E33" s="18">
        <v>30</v>
      </c>
      <c r="F33" s="18">
        <f>30</f>
        <v>30</v>
      </c>
      <c r="G33" s="18">
        <f>30</f>
        <v>30</v>
      </c>
      <c r="H33" s="48">
        <v>20</v>
      </c>
      <c r="I33" s="18">
        <f>30</f>
        <v>30</v>
      </c>
      <c r="J33" s="18">
        <f>30</f>
        <v>30</v>
      </c>
      <c r="L33" s="18">
        <f>30</f>
        <v>30</v>
      </c>
      <c r="M33" s="18">
        <f>30</f>
        <v>30</v>
      </c>
      <c r="P33" s="57">
        <f>P32/LN(J27/J26)</f>
        <v>5.2722323885478978E-3</v>
      </c>
    </row>
    <row r="34" spans="4:21">
      <c r="D34" s="22" t="s">
        <v>19</v>
      </c>
      <c r="E34" s="18">
        <v>3</v>
      </c>
      <c r="F34" s="18">
        <v>3</v>
      </c>
      <c r="G34" s="18">
        <v>3</v>
      </c>
      <c r="H34" s="18">
        <v>3</v>
      </c>
      <c r="I34" s="18">
        <v>3</v>
      </c>
      <c r="J34" s="18">
        <v>3</v>
      </c>
      <c r="L34" s="18">
        <v>3</v>
      </c>
      <c r="M34" s="18">
        <v>3</v>
      </c>
      <c r="P34" s="60">
        <f>P32-P33</f>
        <v>9.013481897166338E-3</v>
      </c>
      <c r="U34" s="1" t="s">
        <v>67</v>
      </c>
    </row>
    <row r="35" spans="4:21">
      <c r="D35" s="22" t="s">
        <v>20</v>
      </c>
      <c r="E35" s="18">
        <v>3</v>
      </c>
      <c r="F35" s="18">
        <v>3</v>
      </c>
      <c r="G35" s="18">
        <v>3</v>
      </c>
      <c r="H35" s="18">
        <v>3</v>
      </c>
      <c r="I35" s="18">
        <v>3</v>
      </c>
      <c r="J35" s="18">
        <v>3</v>
      </c>
      <c r="L35" s="18">
        <v>3</v>
      </c>
      <c r="M35" s="18">
        <v>3</v>
      </c>
      <c r="P35" s="57">
        <f>(P32^2+P33^2)^0.5</f>
        <v>1.5227543039240218E-2</v>
      </c>
      <c r="U35" s="1" t="s">
        <v>68</v>
      </c>
    </row>
    <row r="37" spans="4:21">
      <c r="D37" s="22" t="s">
        <v>21</v>
      </c>
      <c r="E37" s="18">
        <v>72</v>
      </c>
      <c r="F37" s="18">
        <v>72</v>
      </c>
      <c r="G37" s="18">
        <v>72</v>
      </c>
      <c r="H37" s="18">
        <v>72</v>
      </c>
      <c r="I37" s="18">
        <v>72</v>
      </c>
      <c r="J37" s="18">
        <v>72</v>
      </c>
      <c r="L37" s="18">
        <v>72</v>
      </c>
      <c r="M37" s="18">
        <v>72</v>
      </c>
    </row>
    <row r="38" spans="4:21">
      <c r="D38" s="9" t="s">
        <v>22</v>
      </c>
      <c r="E38" s="23">
        <f t="shared" ref="E38:J38" si="4">E33+E35</f>
        <v>33</v>
      </c>
      <c r="F38" s="23">
        <f t="shared" si="4"/>
        <v>33</v>
      </c>
      <c r="G38" s="23">
        <f t="shared" si="4"/>
        <v>33</v>
      </c>
      <c r="H38" s="23">
        <f t="shared" si="4"/>
        <v>23</v>
      </c>
      <c r="I38" s="23">
        <f t="shared" si="4"/>
        <v>33</v>
      </c>
      <c r="J38" s="23">
        <f t="shared" si="4"/>
        <v>33</v>
      </c>
      <c r="L38" s="23">
        <f>L33+L35</f>
        <v>33</v>
      </c>
      <c r="M38" s="23">
        <f>M33+M35</f>
        <v>33</v>
      </c>
    </row>
    <row r="40" spans="4:21">
      <c r="D40" s="22" t="s">
        <v>23</v>
      </c>
      <c r="E40" s="18">
        <v>10</v>
      </c>
      <c r="F40" s="43">
        <v>6.9870483977985476</v>
      </c>
      <c r="G40" s="43">
        <v>6.9870483977985476</v>
      </c>
      <c r="H40" s="43">
        <v>9.0320381716471001</v>
      </c>
      <c r="I40" s="43">
        <v>6.9870483977985476</v>
      </c>
      <c r="J40" s="43">
        <v>6.9870483977985476</v>
      </c>
      <c r="L40" s="18">
        <v>10</v>
      </c>
      <c r="M40" s="43">
        <v>9.0865853625796191</v>
      </c>
    </row>
    <row r="41" spans="4:21">
      <c r="D41" s="9" t="s">
        <v>24</v>
      </c>
      <c r="E41" s="42">
        <f t="shared" ref="E41:J41" si="5">E28/(E40*4.18)*3.6</f>
        <v>25.2688995215311</v>
      </c>
      <c r="F41" s="24">
        <f t="shared" si="5"/>
        <v>25.268899522590008</v>
      </c>
      <c r="G41" s="24">
        <f t="shared" si="5"/>
        <v>25.268899522590008</v>
      </c>
      <c r="H41" s="46">
        <f t="shared" si="5"/>
        <v>25.268899525714684</v>
      </c>
      <c r="I41" s="24">
        <f t="shared" si="5"/>
        <v>36.501899888050637</v>
      </c>
      <c r="J41" s="24">
        <f t="shared" si="5"/>
        <v>36.490962216008135</v>
      </c>
      <c r="L41" s="41">
        <f>L28/(L40*4.18)*3.6</f>
        <v>21.789473684210527</v>
      </c>
      <c r="M41" s="41">
        <f>M28/(M40*4.18)*3.6</f>
        <v>21.799841909555187</v>
      </c>
    </row>
    <row r="42" spans="4:21">
      <c r="D42" s="22" t="s">
        <v>25</v>
      </c>
      <c r="E42" s="25">
        <f t="shared" ref="E42:J42" si="6">E41-E43</f>
        <v>23.653291866028709</v>
      </c>
      <c r="F42" s="25">
        <f t="shared" si="6"/>
        <v>23.650297082097392</v>
      </c>
      <c r="G42" s="25">
        <f t="shared" si="6"/>
        <v>24.112754922238139</v>
      </c>
      <c r="H42" s="47">
        <f t="shared" si="6"/>
        <v>23.021493137331404</v>
      </c>
      <c r="I42" s="25">
        <f t="shared" si="6"/>
        <v>34.156577984479704</v>
      </c>
      <c r="J42" s="25">
        <f t="shared" si="6"/>
        <v>34.145640312437202</v>
      </c>
      <c r="L42" s="25">
        <f>L41-L43</f>
        <v>20.449829282296651</v>
      </c>
      <c r="M42" s="25">
        <f>M41-M43</f>
        <v>20.312076629126697</v>
      </c>
    </row>
    <row r="43" spans="4:21">
      <c r="D43" s="22" t="s">
        <v>26</v>
      </c>
      <c r="E43" s="25">
        <f t="shared" ref="E43:J43" si="7">E18*E23*(E37-E38)/(4.18*E40)*3.6/1000</f>
        <v>1.6156076555023926</v>
      </c>
      <c r="F43" s="25">
        <f t="shared" si="7"/>
        <v>1.6186024404926154</v>
      </c>
      <c r="G43" s="25">
        <f t="shared" si="7"/>
        <v>1.1561446003518678</v>
      </c>
      <c r="H43" s="25">
        <f t="shared" si="7"/>
        <v>2.2474063883832804</v>
      </c>
      <c r="I43" s="25">
        <f t="shared" si="7"/>
        <v>2.345321903570933</v>
      </c>
      <c r="J43" s="25">
        <f t="shared" si="7"/>
        <v>2.345321903570933</v>
      </c>
      <c r="L43" s="25">
        <f>L18*L23*(L37-L38)/(4.18*L40)*3.6/1000</f>
        <v>1.339644401913876</v>
      </c>
      <c r="M43" s="25">
        <f>M18*M23*(M37-M38)/(4.18*M40)*3.6/1000</f>
        <v>1.487765280428492</v>
      </c>
    </row>
    <row r="45" spans="4:21">
      <c r="D45" s="9" t="s">
        <v>27</v>
      </c>
      <c r="E45" s="23">
        <f t="shared" ref="E45:J45" si="8">E33+E34</f>
        <v>33</v>
      </c>
      <c r="F45" s="23">
        <f t="shared" si="8"/>
        <v>33</v>
      </c>
      <c r="G45" s="23">
        <f t="shared" si="8"/>
        <v>33</v>
      </c>
      <c r="H45" s="49">
        <f t="shared" si="8"/>
        <v>23</v>
      </c>
      <c r="I45" s="23">
        <f t="shared" si="8"/>
        <v>33</v>
      </c>
      <c r="J45" s="23">
        <f t="shared" si="8"/>
        <v>33</v>
      </c>
      <c r="L45" s="23">
        <f>L33+L34</f>
        <v>33</v>
      </c>
      <c r="M45" s="23">
        <f>M33+M34</f>
        <v>33</v>
      </c>
    </row>
    <row r="46" spans="4:21">
      <c r="D46" s="9" t="s">
        <v>28</v>
      </c>
      <c r="E46" s="26">
        <v>2.19</v>
      </c>
      <c r="F46" s="26">
        <v>2.19</v>
      </c>
      <c r="G46" s="26">
        <v>2.19</v>
      </c>
      <c r="H46" s="26">
        <v>2.19</v>
      </c>
      <c r="I46" s="26">
        <v>2.19</v>
      </c>
      <c r="J46" s="26">
        <v>2.19</v>
      </c>
      <c r="L46" s="26">
        <v>2.19</v>
      </c>
      <c r="M46" s="26">
        <v>2.19</v>
      </c>
    </row>
    <row r="47" spans="4:21">
      <c r="D47" s="9" t="s">
        <v>29</v>
      </c>
      <c r="E47" s="27">
        <v>980</v>
      </c>
      <c r="F47" s="27">
        <f>[2]!rho_("BREOXB35",F27,F37+273)</f>
        <v>980</v>
      </c>
      <c r="G47" s="27">
        <f>[2]!rho_("BREOXB35",G27,G37+273)</f>
        <v>980</v>
      </c>
      <c r="H47" s="27">
        <v>980</v>
      </c>
      <c r="I47" s="27">
        <f>[2]!rho_("BREOXB35",I27,I37+273)</f>
        <v>980</v>
      </c>
      <c r="J47" s="27">
        <f>[2]!rho_("BREOXB35",J27,J37+273)</f>
        <v>980</v>
      </c>
      <c r="L47" s="27">
        <v>980</v>
      </c>
      <c r="M47" s="27">
        <v>980</v>
      </c>
    </row>
    <row r="48" spans="4:21">
      <c r="D48" s="28" t="s">
        <v>30</v>
      </c>
      <c r="E48" s="29">
        <f t="shared" ref="E48:J48" si="9">E49/E47*10^6</f>
        <v>13.674787009948611</v>
      </c>
      <c r="F48" s="29">
        <f t="shared" si="9"/>
        <v>13.674787009948611</v>
      </c>
      <c r="G48" s="29">
        <f t="shared" si="9"/>
        <v>13.674787009948611</v>
      </c>
      <c r="H48" s="29">
        <f t="shared" si="9"/>
        <v>13.674787009948611</v>
      </c>
      <c r="I48" s="29">
        <f t="shared" si="9"/>
        <v>13.674787009948611</v>
      </c>
      <c r="J48" s="29">
        <f t="shared" si="9"/>
        <v>13.674787009948611</v>
      </c>
      <c r="L48" s="29">
        <f>L49/L47*10^6</f>
        <v>13.674787009948611</v>
      </c>
      <c r="M48" s="29">
        <f>M49/M47*10^6</f>
        <v>13.674787009948611</v>
      </c>
    </row>
    <row r="49" spans="2:13">
      <c r="B49" s="2" t="s">
        <v>31</v>
      </c>
      <c r="D49" s="28" t="s">
        <v>32</v>
      </c>
      <c r="E49" s="30">
        <f>[2]!mu_("BREOXB35",E27,E37+273)</f>
        <v>1.3401291269749638E-2</v>
      </c>
      <c r="F49" s="30">
        <f>[2]!mu_("BREOXB35",F27,F37+273)</f>
        <v>1.3401291269749638E-2</v>
      </c>
      <c r="G49" s="30">
        <f>[2]!mu_("BREOXB35",G27,G37+273)</f>
        <v>1.3401291269749638E-2</v>
      </c>
      <c r="H49" s="30">
        <f>[2]!mu_("BREOXB35",H27,H37+273)</f>
        <v>1.3401291269749638E-2</v>
      </c>
      <c r="I49" s="30">
        <f>[2]!mu_("BREOXB35",I27,I37+273)</f>
        <v>1.3401291269749638E-2</v>
      </c>
      <c r="J49" s="30">
        <f>[2]!mu_("BREOXB35",J27,J37+273)</f>
        <v>1.3401291269749638E-2</v>
      </c>
      <c r="L49" s="30">
        <f>[2]!mu_("BREOXB35",L27,L37+273)</f>
        <v>1.3401291269749638E-2</v>
      </c>
      <c r="M49" s="30">
        <f>[2]!mu_("BREOXB35",M27,M37+273)</f>
        <v>1.3401291269749638E-2</v>
      </c>
    </row>
    <row r="50" spans="2:13">
      <c r="B50" s="2" t="s">
        <v>33</v>
      </c>
      <c r="C50" s="31">
        <v>5</v>
      </c>
    </row>
    <row r="51" spans="2:13">
      <c r="B51" s="2" t="s">
        <v>34</v>
      </c>
      <c r="C51" s="32">
        <v>3</v>
      </c>
      <c r="D51" s="9" t="s">
        <v>35</v>
      </c>
      <c r="E51" s="33">
        <f t="shared" ref="E51:J51" si="10">4.18*E42*3600/(E46*(E37-E45))</f>
        <v>4167.3660695468916</v>
      </c>
      <c r="F51" s="33">
        <f t="shared" si="10"/>
        <v>4166.8384321672111</v>
      </c>
      <c r="G51" s="33">
        <f t="shared" si="10"/>
        <v>4248.3167787125576</v>
      </c>
      <c r="H51" s="33">
        <f t="shared" si="10"/>
        <v>3228.2865411477301</v>
      </c>
      <c r="I51" s="33">
        <f t="shared" si="10"/>
        <v>6017.8923487934726</v>
      </c>
      <c r="J51" s="33">
        <f t="shared" si="10"/>
        <v>6015.9652900310857</v>
      </c>
      <c r="L51" s="33">
        <f>4.18*L42*3600/(L46*(L37-L45))</f>
        <v>3602.9625458377236</v>
      </c>
      <c r="M51" s="33">
        <f>4.18*M42*3600/(M46*(M37-M45))</f>
        <v>3578.6925314962946</v>
      </c>
    </row>
    <row r="52" spans="2:13">
      <c r="B52" s="2" t="s">
        <v>36</v>
      </c>
      <c r="C52" s="31">
        <v>18</v>
      </c>
      <c r="E52" s="34">
        <f t="shared" ref="E52:J52" si="11">E51*3.6/980</f>
        <v>15.308691684049805</v>
      </c>
      <c r="F52" s="34">
        <f t="shared" si="11"/>
        <v>15.306753424287715</v>
      </c>
      <c r="G52" s="34">
        <f t="shared" si="11"/>
        <v>15.606061636086947</v>
      </c>
      <c r="H52" s="34">
        <f t="shared" si="11"/>
        <v>11.859011783807988</v>
      </c>
      <c r="I52" s="34">
        <f t="shared" si="11"/>
        <v>22.106543322098471</v>
      </c>
      <c r="J52" s="34">
        <f t="shared" si="11"/>
        <v>22.099464330726438</v>
      </c>
      <c r="L52" s="34">
        <f>L51*3.6/980</f>
        <v>13.235372617363067</v>
      </c>
      <c r="M52" s="34">
        <f>M51*3.6/980</f>
        <v>13.14621746263945</v>
      </c>
    </row>
    <row r="53" spans="2:13">
      <c r="D53" s="2" t="s">
        <v>37</v>
      </c>
      <c r="E53" s="35">
        <f>[2]!DP_mbar_iter(E51,$C$50,$C$52,$C$51,"BREOXB35",E27,E37+273)/1000</f>
        <v>11.808389672214007</v>
      </c>
      <c r="F53" s="35">
        <f>[2]!DP_mbar_iter(F51,$C$50,$C$52,$C$51,"BREOXB35",F27,F37+273)/1000</f>
        <v>11.805709097963758</v>
      </c>
      <c r="G53" s="35">
        <f>[2]!DP_mbar_iter(G51,$C$50,$C$52,$C$51,"BREOXB35",G27,G37+273)/1000</f>
        <v>12.222850781368706</v>
      </c>
      <c r="H53" s="35">
        <f>[2]!DP_mbar_iter(H51,$C$50,$C$52,$C$51,"BREOXB35",H27,H37+273)/1000</f>
        <v>7.4728750820583336</v>
      </c>
      <c r="I53" s="35">
        <f>[2]!DP_mbar_iter(I51,$C$50,$C$52,$C$51,"BREOXB35",I27,I37+273)/1000</f>
        <v>99999.998999999996</v>
      </c>
      <c r="J53" s="35">
        <f>[2]!DP_mbar_iter(J51,$C$50,$C$52,$C$51,"BREOXB35",J27,J37+273)/1000</f>
        <v>99999.998999999996</v>
      </c>
      <c r="L53" s="35">
        <f>[2]!DP_mbar_iter(L51,$C$50,$C$52,$C$51,"BREOXB35",L27,L37+273)/1000</f>
        <v>9.0972264444904987</v>
      </c>
      <c r="M53" s="35">
        <f>[2]!DP_mbar_iter(M51,$C$50,$C$52,$C$51,"BREOXB35",M27,M37+273)/1000</f>
        <v>8.9877232018594313</v>
      </c>
    </row>
    <row r="57" spans="2:13">
      <c r="D57" s="9" t="s">
        <v>38</v>
      </c>
      <c r="E57" s="23">
        <f>(273.15+E25)*(E27/E26)^((E22-1)/E22)-273.15</f>
        <v>619.2189213349991</v>
      </c>
      <c r="F57" s="23">
        <f>(273.15+F25)*(F27/F26)^((F22-1)/F22)-273.15</f>
        <v>619.2189213349991</v>
      </c>
      <c r="G57" s="23">
        <f>(273.15+G25)*(G27/G26)^((G22-1)/G22)-273.15</f>
        <v>619.2189213349991</v>
      </c>
      <c r="H57" s="23">
        <f>(273.15+H25)*(H27/H26)^((H22-1)/H22)-273.15</f>
        <v>619.2189213349991</v>
      </c>
      <c r="I57" s="23">
        <f>(273.15+I25)*(I27/I26)^((I22-1)/I22)-273.15</f>
        <v>614.4869975440414</v>
      </c>
      <c r="L57" s="23">
        <f>(273.15+L25)*(L27/L26)^((L22-1)/L22)-273.15</f>
        <v>619.2189213349991</v>
      </c>
      <c r="M57" s="23">
        <f>(273.15+M25)*(M27/M26)^((M22-1)/M22)-273.15</f>
        <v>573.07801228346682</v>
      </c>
    </row>
    <row r="58" spans="2:13">
      <c r="D58" s="9" t="s">
        <v>39</v>
      </c>
      <c r="E58" s="23">
        <f>E57-E25</f>
        <v>590.2189213349991</v>
      </c>
      <c r="F58" s="23">
        <f>F57-F25</f>
        <v>590.2189213349991</v>
      </c>
      <c r="G58" s="23">
        <f>G57-G25</f>
        <v>590.2189213349991</v>
      </c>
      <c r="H58" s="23">
        <f>H57-H25</f>
        <v>590.2189213349991</v>
      </c>
      <c r="I58" s="23">
        <f>I57-I25</f>
        <v>585.4869975440414</v>
      </c>
      <c r="L58" s="23">
        <f>L57-L25</f>
        <v>590.2189213349991</v>
      </c>
      <c r="M58" s="23">
        <f>M57-M25</f>
        <v>544.07801228346682</v>
      </c>
    </row>
    <row r="61" spans="2:13">
      <c r="D61" s="9" t="s">
        <v>40</v>
      </c>
      <c r="E61" s="36"/>
      <c r="F61" s="36"/>
      <c r="G61" s="36"/>
      <c r="H61" s="36"/>
      <c r="I61" s="36"/>
      <c r="L61" s="36"/>
      <c r="M61" s="36"/>
    </row>
    <row r="62" spans="2:13">
      <c r="D62" s="9" t="s">
        <v>41</v>
      </c>
      <c r="E62" s="37">
        <f>E18*E23*E58/1000</f>
        <v>283.89530116213456</v>
      </c>
      <c r="F62" s="37">
        <f>F18*F23*F58/1000</f>
        <v>198.72671081349421</v>
      </c>
      <c r="G62" s="37">
        <f>G18*G23*G58/1000</f>
        <v>141.94765058106725</v>
      </c>
      <c r="H62" s="37">
        <f>H18*H23*H58/1000</f>
        <v>283.8953011621345</v>
      </c>
      <c r="I62" s="37">
        <f>I18*I23*I58/1000</f>
        <v>285.64237790180795</v>
      </c>
      <c r="L62" s="37">
        <f>L18*L23*L58/1000</f>
        <v>235.40291458525107</v>
      </c>
      <c r="M62" s="37">
        <f>M18*M23*M58/1000</f>
        <v>218.98051838384973</v>
      </c>
    </row>
    <row r="63" spans="2:13">
      <c r="D63" s="9" t="s">
        <v>42</v>
      </c>
      <c r="E63" s="37">
        <f>E18*8.314/E21*E25*LN(E27/E26)/1000</f>
        <v>15.186746550161285</v>
      </c>
      <c r="F63" s="37">
        <f>F18*8.314/F21*F25*LN(F27/F26)/1000</f>
        <v>10.630722585112899</v>
      </c>
      <c r="G63" s="37">
        <f>G18*8.314/G21*G25*LN(G27/G26)/1000</f>
        <v>7.5933732750806406</v>
      </c>
      <c r="H63" s="37">
        <f>H18*8.314/H21*H25*LN(H27/H26)/1000</f>
        <v>15.186746550161281</v>
      </c>
      <c r="I63" s="37">
        <f>I18*8.314/I21*I25*LN(I27/I26)/1000</f>
        <v>15.328075743258973</v>
      </c>
      <c r="L63" s="37">
        <f>L18*8.314/L21*L25*LN(L27/L26)/1000</f>
        <v>12.592686058349951</v>
      </c>
      <c r="M63" s="37">
        <f>M18*8.314/M21*M25*LN(M27/M26)/1000</f>
        <v>12.084635282964841</v>
      </c>
    </row>
    <row r="65" spans="3:9">
      <c r="D65" s="50" t="s">
        <v>63</v>
      </c>
      <c r="E65" s="50"/>
      <c r="F65" s="50">
        <f>($E$41-F41)^2</f>
        <v>1.121285365162995E-18</v>
      </c>
      <c r="G65" s="50">
        <f t="shared" ref="G65:H65" si="12">($E$41-G41)^2</f>
        <v>1.121285365162995E-18</v>
      </c>
      <c r="H65" s="50">
        <f t="shared" si="12"/>
        <v>1.7502368873269531E-17</v>
      </c>
      <c r="I65" s="50">
        <f>($E$41-I41)^2</f>
        <v>126.18029723422805</v>
      </c>
    </row>
    <row r="66" spans="3:9">
      <c r="D66" s="50"/>
      <c r="E66" s="50"/>
      <c r="F66" s="50" t="e">
        <f ca="1">MinimizeNonnegative(F65,F40,5)</f>
        <v>#NAME?</v>
      </c>
      <c r="G66" s="50" t="e">
        <f ca="1">MinimizeNonnegative(G65,G40,5)</f>
        <v>#NAME?</v>
      </c>
      <c r="H66" s="50" t="e">
        <f ca="1">MinimizeNonnegative(H65,H40,5)</f>
        <v>#NAME?</v>
      </c>
      <c r="I66" s="50" t="e">
        <f ca="1">MinimizeNonnegative(I65,I40,5)</f>
        <v>#NAME?</v>
      </c>
    </row>
    <row r="70" spans="3:9">
      <c r="C70" s="2" t="s">
        <v>43</v>
      </c>
    </row>
    <row r="71" spans="3:9">
      <c r="C71" s="38" t="s">
        <v>44</v>
      </c>
    </row>
    <row r="72" spans="3:9">
      <c r="C72" s="2"/>
    </row>
    <row r="73" spans="3:9">
      <c r="C73" s="2" t="s">
        <v>45</v>
      </c>
    </row>
    <row r="74" spans="3:9">
      <c r="C74" s="2" t="s">
        <v>46</v>
      </c>
    </row>
    <row r="76" spans="3:9">
      <c r="C76" s="2" t="s">
        <v>47</v>
      </c>
    </row>
    <row r="77" spans="3:9">
      <c r="C77" s="2" t="s">
        <v>48</v>
      </c>
    </row>
    <row r="79" spans="3:9">
      <c r="C79" s="2" t="s">
        <v>49</v>
      </c>
    </row>
    <row r="80" spans="3:9">
      <c r="C80" s="2" t="s">
        <v>50</v>
      </c>
    </row>
    <row r="81" spans="3:3">
      <c r="C81" s="2" t="s">
        <v>51</v>
      </c>
    </row>
    <row r="82" spans="3:3">
      <c r="C82" s="39" t="s">
        <v>52</v>
      </c>
    </row>
    <row r="83" spans="3:3">
      <c r="C83" s="39" t="s">
        <v>53</v>
      </c>
    </row>
    <row r="84" spans="3:3">
      <c r="C84" s="39" t="s">
        <v>54</v>
      </c>
    </row>
    <row r="88" spans="3:3">
      <c r="C88" s="2" t="s">
        <v>55</v>
      </c>
    </row>
    <row r="89" spans="3:3">
      <c r="C89" s="2" t="s">
        <v>56</v>
      </c>
    </row>
    <row r="90" spans="3:3">
      <c r="C90" s="38" t="s">
        <v>57</v>
      </c>
    </row>
    <row r="92" spans="3:3">
      <c r="C92" s="2" t="s">
        <v>58</v>
      </c>
    </row>
    <row r="93" spans="3:3">
      <c r="C93" s="2" t="s">
        <v>59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</cp:lastModifiedBy>
  <dcterms:created xsi:type="dcterms:W3CDTF">2013-11-25T11:01:20Z</dcterms:created>
  <dcterms:modified xsi:type="dcterms:W3CDTF">2015-01-08T09:43:10Z</dcterms:modified>
</cp:coreProperties>
</file>