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75" windowWidth="20340" windowHeight="6615" tabRatio="811" firstSheet="1" activeTab="12"/>
  </bookViews>
  <sheets>
    <sheet name="Aerzen" sheetId="11" r:id="rId1"/>
    <sheet name="Sheet1" sheetId="1" r:id="rId2"/>
    <sheet name="Sheet2" sheetId="2" r:id="rId3"/>
    <sheet name="Sheet3" sheetId="3" r:id="rId4"/>
    <sheet name="313K002A-B (2)" sheetId="5" r:id="rId5"/>
    <sheet name="313K002A-B" sheetId="4" r:id="rId6"/>
    <sheet name="313K002A-B_avec oil HX et after" sheetId="6" r:id="rId7"/>
    <sheet name="test" sheetId="7" r:id="rId8"/>
    <sheet name="Off_design air_to helium" sheetId="8" r:id="rId9"/>
    <sheet name="Examples" sheetId="9" r:id="rId10"/>
    <sheet name="Kaeser" sheetId="10" r:id="rId11"/>
    <sheet name="JCI" sheetId="12" r:id="rId12"/>
    <sheet name="JCI (2)" sheetId="13" r:id="rId13"/>
  </sheets>
  <externalReferences>
    <externalReference r:id="rId14"/>
    <externalReference r:id="rId15"/>
  </externalReferences>
  <definedNames>
    <definedName name="solver_adj" localSheetId="6" hidden="1">'313K002A-B_avec oil HX et after'!$H$68,'313K002A-B_avec oil HX et after'!$H$86</definedName>
    <definedName name="solver_adj" localSheetId="0" hidden="1">Aerzen!#REF!,Aerzen!#REF!</definedName>
    <definedName name="solver_adj" localSheetId="9" hidden="1">Examples!#REF!,Examples!#REF!</definedName>
    <definedName name="solver_adj" localSheetId="11" hidden="1">JCI!#REF!,JCI!#REF!</definedName>
    <definedName name="solver_adj" localSheetId="12" hidden="1">'JCI (2)'!#REF!,'JCI (2)'!#REF!</definedName>
    <definedName name="solver_adj" localSheetId="10" hidden="1">Kaeser!#REF!,Kaeser!#REF!</definedName>
    <definedName name="solver_adj" localSheetId="8" hidden="1">'Off_design air_to helium'!#REF!,'Off_design air_to helium'!#REF!</definedName>
    <definedName name="solver_adj" localSheetId="7" hidden="1">test!#REF!,test!#REF!</definedName>
    <definedName name="solver_cvg" localSheetId="6" hidden="1">0.0001</definedName>
    <definedName name="solver_cvg" localSheetId="0" hidden="1">0.0001</definedName>
    <definedName name="solver_cvg" localSheetId="9" hidden="1">0.0001</definedName>
    <definedName name="solver_cvg" localSheetId="11" hidden="1">0.0001</definedName>
    <definedName name="solver_cvg" localSheetId="12" hidden="1">0.0001</definedName>
    <definedName name="solver_cvg" localSheetId="10" hidden="1">0.0001</definedName>
    <definedName name="solver_cvg" localSheetId="8" hidden="1">0.0001</definedName>
    <definedName name="solver_cvg" localSheetId="7" hidden="1">0.0001</definedName>
    <definedName name="solver_drv" localSheetId="6" hidden="1">1</definedName>
    <definedName name="solver_drv" localSheetId="0" hidden="1">1</definedName>
    <definedName name="solver_drv" localSheetId="9" hidden="1">1</definedName>
    <definedName name="solver_drv" localSheetId="11" hidden="1">1</definedName>
    <definedName name="solver_drv" localSheetId="12" hidden="1">1</definedName>
    <definedName name="solver_drv" localSheetId="10" hidden="1">1</definedName>
    <definedName name="solver_drv" localSheetId="8" hidden="1">1</definedName>
    <definedName name="solver_drv" localSheetId="7" hidden="1">1</definedName>
    <definedName name="solver_est" localSheetId="6" hidden="1">1</definedName>
    <definedName name="solver_est" localSheetId="0" hidden="1">1</definedName>
    <definedName name="solver_est" localSheetId="9" hidden="1">1</definedName>
    <definedName name="solver_est" localSheetId="11" hidden="1">1</definedName>
    <definedName name="solver_est" localSheetId="12" hidden="1">1</definedName>
    <definedName name="solver_est" localSheetId="10" hidden="1">1</definedName>
    <definedName name="solver_est" localSheetId="8" hidden="1">1</definedName>
    <definedName name="solver_est" localSheetId="7" hidden="1">1</definedName>
    <definedName name="solver_itr" localSheetId="6" hidden="1">100</definedName>
    <definedName name="solver_itr" localSheetId="0" hidden="1">100</definedName>
    <definedName name="solver_itr" localSheetId="9" hidden="1">100</definedName>
    <definedName name="solver_itr" localSheetId="11" hidden="1">100</definedName>
    <definedName name="solver_itr" localSheetId="12" hidden="1">100</definedName>
    <definedName name="solver_itr" localSheetId="10" hidden="1">100</definedName>
    <definedName name="solver_itr" localSheetId="8" hidden="1">100</definedName>
    <definedName name="solver_itr" localSheetId="7" hidden="1">100</definedName>
    <definedName name="solver_lhs1" localSheetId="6" hidden="1">'313K002A-B_avec oil HX et after'!$H$70</definedName>
    <definedName name="solver_lhs1" localSheetId="0" hidden="1">Aerzen!#REF!</definedName>
    <definedName name="solver_lhs1" localSheetId="9" hidden="1">Examples!#REF!</definedName>
    <definedName name="solver_lhs1" localSheetId="11" hidden="1">JCI!#REF!</definedName>
    <definedName name="solver_lhs1" localSheetId="12" hidden="1">'JCI (2)'!#REF!</definedName>
    <definedName name="solver_lhs1" localSheetId="10" hidden="1">Kaeser!#REF!</definedName>
    <definedName name="solver_lhs1" localSheetId="8" hidden="1">'Off_design air_to helium'!#REF!</definedName>
    <definedName name="solver_lhs1" localSheetId="7" hidden="1">test!#REF!</definedName>
    <definedName name="solver_lhs2" localSheetId="6" hidden="1">'313K002A-B_avec oil HX et after'!$H$93</definedName>
    <definedName name="solver_lhs2" localSheetId="0" hidden="1">Aerzen!#REF!</definedName>
    <definedName name="solver_lhs2" localSheetId="9" hidden="1">Examples!#REF!</definedName>
    <definedName name="solver_lhs2" localSheetId="11" hidden="1">JCI!#REF!</definedName>
    <definedName name="solver_lhs2" localSheetId="12" hidden="1">'JCI (2)'!#REF!</definedName>
    <definedName name="solver_lhs2" localSheetId="10" hidden="1">Kaeser!#REF!</definedName>
    <definedName name="solver_lhs2" localSheetId="8" hidden="1">'Off_design air_to helium'!#REF!</definedName>
    <definedName name="solver_lhs2" localSheetId="7" hidden="1">test!#REF!</definedName>
    <definedName name="solver_lin" localSheetId="6" hidden="1">2</definedName>
    <definedName name="solver_lin" localSheetId="0" hidden="1">2</definedName>
    <definedName name="solver_lin" localSheetId="9" hidden="1">2</definedName>
    <definedName name="solver_lin" localSheetId="11" hidden="1">2</definedName>
    <definedName name="solver_lin" localSheetId="12" hidden="1">2</definedName>
    <definedName name="solver_lin" localSheetId="10" hidden="1">2</definedName>
    <definedName name="solver_lin" localSheetId="8" hidden="1">2</definedName>
    <definedName name="solver_lin" localSheetId="7" hidden="1">2</definedName>
    <definedName name="solver_neg" localSheetId="6" hidden="1">2</definedName>
    <definedName name="solver_neg" localSheetId="0" hidden="1">2</definedName>
    <definedName name="solver_neg" localSheetId="9" hidden="1">2</definedName>
    <definedName name="solver_neg" localSheetId="11" hidden="1">2</definedName>
    <definedName name="solver_neg" localSheetId="12" hidden="1">2</definedName>
    <definedName name="solver_neg" localSheetId="10" hidden="1">2</definedName>
    <definedName name="solver_neg" localSheetId="8" hidden="1">2</definedName>
    <definedName name="solver_neg" localSheetId="7" hidden="1">2</definedName>
    <definedName name="solver_num" localSheetId="6" hidden="1">2</definedName>
    <definedName name="solver_num" localSheetId="0" hidden="1">2</definedName>
    <definedName name="solver_num" localSheetId="9" hidden="1">2</definedName>
    <definedName name="solver_num" localSheetId="11" hidden="1">2</definedName>
    <definedName name="solver_num" localSheetId="12" hidden="1">2</definedName>
    <definedName name="solver_num" localSheetId="10" hidden="1">2</definedName>
    <definedName name="solver_num" localSheetId="8" hidden="1">2</definedName>
    <definedName name="solver_num" localSheetId="7" hidden="1">2</definedName>
    <definedName name="solver_nwt" localSheetId="6" hidden="1">1</definedName>
    <definedName name="solver_nwt" localSheetId="0" hidden="1">1</definedName>
    <definedName name="solver_nwt" localSheetId="9" hidden="1">1</definedName>
    <definedName name="solver_nwt" localSheetId="11" hidden="1">1</definedName>
    <definedName name="solver_nwt" localSheetId="12" hidden="1">1</definedName>
    <definedName name="solver_nwt" localSheetId="10" hidden="1">1</definedName>
    <definedName name="solver_nwt" localSheetId="8" hidden="1">1</definedName>
    <definedName name="solver_nwt" localSheetId="7" hidden="1">1</definedName>
    <definedName name="solver_opt" localSheetId="6" hidden="1">'313K002A-B_avec oil HX et after'!$H$93</definedName>
    <definedName name="solver_opt" localSheetId="0" hidden="1">Aerzen!#REF!</definedName>
    <definedName name="solver_opt" localSheetId="9" hidden="1">Examples!#REF!</definedName>
    <definedName name="solver_opt" localSheetId="11" hidden="1">JCI!#REF!</definedName>
    <definedName name="solver_opt" localSheetId="12" hidden="1">'JCI (2)'!#REF!</definedName>
    <definedName name="solver_opt" localSheetId="10" hidden="1">Kaeser!#REF!</definedName>
    <definedName name="solver_opt" localSheetId="8" hidden="1">'Off_design air_to helium'!#REF!</definedName>
    <definedName name="solver_opt" localSheetId="7" hidden="1">test!#REF!</definedName>
    <definedName name="solver_pre" localSheetId="6" hidden="1">0.000001</definedName>
    <definedName name="solver_pre" localSheetId="0" hidden="1">0.000001</definedName>
    <definedName name="solver_pre" localSheetId="9" hidden="1">0.000001</definedName>
    <definedName name="solver_pre" localSheetId="11" hidden="1">0.000001</definedName>
    <definedName name="solver_pre" localSheetId="12" hidden="1">0.000001</definedName>
    <definedName name="solver_pre" localSheetId="10" hidden="1">0.000001</definedName>
    <definedName name="solver_pre" localSheetId="8" hidden="1">0.000001</definedName>
    <definedName name="solver_pre" localSheetId="7" hidden="1">0.000001</definedName>
    <definedName name="solver_rel1" localSheetId="6" hidden="1">2</definedName>
    <definedName name="solver_rel1" localSheetId="0" hidden="1">2</definedName>
    <definedName name="solver_rel1" localSheetId="9" hidden="1">2</definedName>
    <definedName name="solver_rel1" localSheetId="11" hidden="1">2</definedName>
    <definedName name="solver_rel1" localSheetId="12" hidden="1">2</definedName>
    <definedName name="solver_rel1" localSheetId="10" hidden="1">2</definedName>
    <definedName name="solver_rel1" localSheetId="8" hidden="1">2</definedName>
    <definedName name="solver_rel1" localSheetId="7" hidden="1">2</definedName>
    <definedName name="solver_rel2" localSheetId="6" hidden="1">2</definedName>
    <definedName name="solver_rel2" localSheetId="0" hidden="1">2</definedName>
    <definedName name="solver_rel2" localSheetId="9" hidden="1">2</definedName>
    <definedName name="solver_rel2" localSheetId="11" hidden="1">2</definedName>
    <definedName name="solver_rel2" localSheetId="12" hidden="1">2</definedName>
    <definedName name="solver_rel2" localSheetId="10" hidden="1">2</definedName>
    <definedName name="solver_rel2" localSheetId="8" hidden="1">2</definedName>
    <definedName name="solver_rel2" localSheetId="7" hidden="1">2</definedName>
    <definedName name="solver_rhs1" localSheetId="6" hidden="1">0</definedName>
    <definedName name="solver_rhs1" localSheetId="0" hidden="1">0</definedName>
    <definedName name="solver_rhs1" localSheetId="9" hidden="1">0</definedName>
    <definedName name="solver_rhs1" localSheetId="11" hidden="1">0</definedName>
    <definedName name="solver_rhs1" localSheetId="12" hidden="1">0</definedName>
    <definedName name="solver_rhs1" localSheetId="10" hidden="1">0</definedName>
    <definedName name="solver_rhs1" localSheetId="8" hidden="1">0</definedName>
    <definedName name="solver_rhs1" localSheetId="7" hidden="1">0</definedName>
    <definedName name="solver_rhs2" localSheetId="6" hidden="1">0</definedName>
    <definedName name="solver_rhs2" localSheetId="0" hidden="1">0</definedName>
    <definedName name="solver_rhs2" localSheetId="9" hidden="1">0</definedName>
    <definedName name="solver_rhs2" localSheetId="11" hidden="1">0</definedName>
    <definedName name="solver_rhs2" localSheetId="12" hidden="1">0</definedName>
    <definedName name="solver_rhs2" localSheetId="10" hidden="1">0</definedName>
    <definedName name="solver_rhs2" localSheetId="8" hidden="1">0</definedName>
    <definedName name="solver_rhs2" localSheetId="7" hidden="1">0</definedName>
    <definedName name="solver_scl" localSheetId="6" hidden="1">2</definedName>
    <definedName name="solver_scl" localSheetId="0" hidden="1">2</definedName>
    <definedName name="solver_scl" localSheetId="9" hidden="1">2</definedName>
    <definedName name="solver_scl" localSheetId="11" hidden="1">2</definedName>
    <definedName name="solver_scl" localSheetId="12" hidden="1">2</definedName>
    <definedName name="solver_scl" localSheetId="10" hidden="1">2</definedName>
    <definedName name="solver_scl" localSheetId="8" hidden="1">2</definedName>
    <definedName name="solver_scl" localSheetId="7" hidden="1">2</definedName>
    <definedName name="solver_sho" localSheetId="6" hidden="1">2</definedName>
    <definedName name="solver_sho" localSheetId="0" hidden="1">2</definedName>
    <definedName name="solver_sho" localSheetId="9" hidden="1">2</definedName>
    <definedName name="solver_sho" localSheetId="11" hidden="1">2</definedName>
    <definedName name="solver_sho" localSheetId="12" hidden="1">2</definedName>
    <definedName name="solver_sho" localSheetId="10" hidden="1">2</definedName>
    <definedName name="solver_sho" localSheetId="8" hidden="1">2</definedName>
    <definedName name="solver_sho" localSheetId="7" hidden="1">2</definedName>
    <definedName name="solver_tim" localSheetId="6" hidden="1">100</definedName>
    <definedName name="solver_tim" localSheetId="0" hidden="1">100</definedName>
    <definedName name="solver_tim" localSheetId="9" hidden="1">100</definedName>
    <definedName name="solver_tim" localSheetId="11" hidden="1">100</definedName>
    <definedName name="solver_tim" localSheetId="12" hidden="1">100</definedName>
    <definedName name="solver_tim" localSheetId="10" hidden="1">100</definedName>
    <definedName name="solver_tim" localSheetId="8" hidden="1">100</definedName>
    <definedName name="solver_tim" localSheetId="7" hidden="1">100</definedName>
    <definedName name="solver_tol" localSheetId="6" hidden="1">0.05</definedName>
    <definedName name="solver_tol" localSheetId="0" hidden="1">0.05</definedName>
    <definedName name="solver_tol" localSheetId="9" hidden="1">0.05</definedName>
    <definedName name="solver_tol" localSheetId="11" hidden="1">0.05</definedName>
    <definedName name="solver_tol" localSheetId="12" hidden="1">0.05</definedName>
    <definedName name="solver_tol" localSheetId="10" hidden="1">0.05</definedName>
    <definedName name="solver_tol" localSheetId="8" hidden="1">0.05</definedName>
    <definedName name="solver_tol" localSheetId="7" hidden="1">0.05</definedName>
    <definedName name="solver_typ" localSheetId="6" hidden="1">3</definedName>
    <definedName name="solver_typ" localSheetId="0" hidden="1">3</definedName>
    <definedName name="solver_typ" localSheetId="9" hidden="1">3</definedName>
    <definedName name="solver_typ" localSheetId="11" hidden="1">3</definedName>
    <definedName name="solver_typ" localSheetId="12" hidden="1">3</definedName>
    <definedName name="solver_typ" localSheetId="10" hidden="1">3</definedName>
    <definedName name="solver_typ" localSheetId="8" hidden="1">3</definedName>
    <definedName name="solver_typ" localSheetId="7" hidden="1">3</definedName>
    <definedName name="solver_val" localSheetId="6" hidden="1">0</definedName>
    <definedName name="solver_val" localSheetId="0" hidden="1">0</definedName>
    <definedName name="solver_val" localSheetId="9" hidden="1">0</definedName>
    <definedName name="solver_val" localSheetId="11" hidden="1">0</definedName>
    <definedName name="solver_val" localSheetId="12" hidden="1">0</definedName>
    <definedName name="solver_val" localSheetId="10" hidden="1">0</definedName>
    <definedName name="solver_val" localSheetId="8" hidden="1">0</definedName>
    <definedName name="solver_val" localSheetId="7" hidden="1">0</definedName>
  </definedNames>
  <calcPr calcId="125725" iterate="1" iterateCount="1"/>
</workbook>
</file>

<file path=xl/calcChain.xml><?xml version="1.0" encoding="utf-8"?>
<calcChain xmlns="http://schemas.openxmlformats.org/spreadsheetml/2006/main">
  <c r="F155" i="13"/>
  <c r="F156" s="1"/>
  <c r="F153"/>
  <c r="F152"/>
  <c r="F149"/>
  <c r="F142"/>
  <c r="F141" l="1"/>
  <c r="F110"/>
  <c r="F102"/>
  <c r="F103"/>
  <c r="F97" l="1"/>
  <c r="F79"/>
  <c r="F77"/>
  <c r="F106" s="1"/>
  <c r="F107" s="1"/>
  <c r="F76"/>
  <c r="F80" s="1"/>
  <c r="F66"/>
  <c r="F64"/>
  <c r="F56"/>
  <c r="F67" s="1"/>
  <c r="F49"/>
  <c r="F42"/>
  <c r="F38"/>
  <c r="F40" s="1"/>
  <c r="F34"/>
  <c r="F33"/>
  <c r="F101"/>
  <c r="F32"/>
  <c r="F68" l="1"/>
  <c r="F81"/>
  <c r="F92" s="1"/>
  <c r="F35"/>
  <c r="F41"/>
  <c r="F84"/>
  <c r="F85" s="1"/>
  <c r="F43"/>
  <c r="F44" s="1"/>
  <c r="F28"/>
  <c r="F46" s="1"/>
  <c r="F52" s="1"/>
  <c r="F23"/>
  <c r="F6"/>
  <c r="D28"/>
  <c r="D153"/>
  <c r="D152"/>
  <c r="D149"/>
  <c r="D102"/>
  <c r="D103"/>
  <c r="D142"/>
  <c r="F29" l="1"/>
  <c r="F31"/>
  <c r="D155"/>
  <c r="D156" s="1"/>
  <c r="D141"/>
  <c r="D97"/>
  <c r="D79"/>
  <c r="D77"/>
  <c r="D106" s="1"/>
  <c r="D76"/>
  <c r="D81" s="1"/>
  <c r="D66"/>
  <c r="D64"/>
  <c r="D56"/>
  <c r="D67" s="1"/>
  <c r="D68" s="1"/>
  <c r="A48"/>
  <c r="A50" s="1"/>
  <c r="D42"/>
  <c r="A40"/>
  <c r="D38"/>
  <c r="D40" s="1"/>
  <c r="D101"/>
  <c r="D32"/>
  <c r="D34"/>
  <c r="D33"/>
  <c r="F47" l="1"/>
  <c r="F53" s="1"/>
  <c r="F86" s="1"/>
  <c r="F69"/>
  <c r="F45"/>
  <c r="F30"/>
  <c r="F99" s="1"/>
  <c r="D92"/>
  <c r="D35"/>
  <c r="D41"/>
  <c r="A41"/>
  <c r="D43"/>
  <c r="D44" s="1"/>
  <c r="D80"/>
  <c r="D84"/>
  <c r="D85" s="1"/>
  <c r="D46"/>
  <c r="D52" s="1"/>
  <c r="D23"/>
  <c r="A13"/>
  <c r="A9"/>
  <c r="A14"/>
  <c r="A10"/>
  <c r="A15"/>
  <c r="A11"/>
  <c r="A12"/>
  <c r="A8"/>
  <c r="F93" l="1"/>
  <c r="F87"/>
  <c r="F88" s="1"/>
  <c r="F100" s="1"/>
  <c r="F78"/>
  <c r="F65"/>
  <c r="F70"/>
  <c r="F72" s="1"/>
  <c r="F109" s="1"/>
  <c r="F111" s="1"/>
  <c r="D29"/>
  <c r="D31"/>
  <c r="D6"/>
  <c r="B2"/>
  <c r="B4"/>
  <c r="F146" l="1"/>
  <c r="F95"/>
  <c r="F145" s="1"/>
  <c r="F90"/>
  <c r="F98"/>
  <c r="D69"/>
  <c r="D47"/>
  <c r="D45"/>
  <c r="D30"/>
  <c r="D99" s="1"/>
  <c r="I153" i="12"/>
  <c r="G153"/>
  <c r="F153"/>
  <c r="D153"/>
  <c r="I152"/>
  <c r="I155" s="1"/>
  <c r="I156" s="1"/>
  <c r="G152"/>
  <c r="G155" s="1"/>
  <c r="G156" s="1"/>
  <c r="F152"/>
  <c r="F155" s="1"/>
  <c r="F156" s="1"/>
  <c r="D152"/>
  <c r="D155" s="1"/>
  <c r="D156" s="1"/>
  <c r="I149"/>
  <c r="G149"/>
  <c r="F149"/>
  <c r="D149"/>
  <c r="D97"/>
  <c r="I79"/>
  <c r="G79"/>
  <c r="F79"/>
  <c r="D79"/>
  <c r="I77"/>
  <c r="I106" s="1"/>
  <c r="G77"/>
  <c r="G106" s="1"/>
  <c r="F77"/>
  <c r="F106" s="1"/>
  <c r="D77"/>
  <c r="D106" s="1"/>
  <c r="I76"/>
  <c r="I81" s="1"/>
  <c r="I92" s="1"/>
  <c r="D76"/>
  <c r="D81" s="1"/>
  <c r="D92" s="1"/>
  <c r="I66"/>
  <c r="G66"/>
  <c r="F66"/>
  <c r="D66"/>
  <c r="I64"/>
  <c r="D64"/>
  <c r="G63"/>
  <c r="G76" s="1"/>
  <c r="F63"/>
  <c r="F76" s="1"/>
  <c r="F81" s="1"/>
  <c r="I56"/>
  <c r="I67" s="1"/>
  <c r="I68" s="1"/>
  <c r="G56"/>
  <c r="G67" s="1"/>
  <c r="F56"/>
  <c r="F67" s="1"/>
  <c r="F68" s="1"/>
  <c r="D56"/>
  <c r="D67" s="1"/>
  <c r="D68" s="1"/>
  <c r="A50"/>
  <c r="A48"/>
  <c r="I46"/>
  <c r="G46"/>
  <c r="I42"/>
  <c r="G42"/>
  <c r="F42"/>
  <c r="D42"/>
  <c r="D40"/>
  <c r="A40"/>
  <c r="I38"/>
  <c r="G38"/>
  <c r="F38"/>
  <c r="D38"/>
  <c r="I35"/>
  <c r="G35"/>
  <c r="F35"/>
  <c r="D35"/>
  <c r="I28"/>
  <c r="G28"/>
  <c r="F28"/>
  <c r="D28"/>
  <c r="I23"/>
  <c r="G23"/>
  <c r="F23"/>
  <c r="D23"/>
  <c r="I6"/>
  <c r="G6"/>
  <c r="F6"/>
  <c r="D6"/>
  <c r="A14"/>
  <c r="G101"/>
  <c r="A13"/>
  <c r="A12"/>
  <c r="F32"/>
  <c r="D102"/>
  <c r="F102"/>
  <c r="D103"/>
  <c r="F34"/>
  <c r="A10"/>
  <c r="A9"/>
  <c r="A8"/>
  <c r="D32"/>
  <c r="A11"/>
  <c r="F33"/>
  <c r="A15"/>
  <c r="D34"/>
  <c r="I32"/>
  <c r="F101"/>
  <c r="B4"/>
  <c r="I103"/>
  <c r="B2"/>
  <c r="I34"/>
  <c r="I102"/>
  <c r="D33"/>
  <c r="G32"/>
  <c r="G34"/>
  <c r="G102"/>
  <c r="G33"/>
  <c r="G103"/>
  <c r="I33"/>
  <c r="F103"/>
  <c r="I101"/>
  <c r="D101"/>
  <c r="D142"/>
  <c r="F142"/>
  <c r="G142"/>
  <c r="I142"/>
  <c r="I141" l="1"/>
  <c r="G141"/>
  <c r="F141"/>
  <c r="D141"/>
  <c r="D53" i="13"/>
  <c r="D86" s="1"/>
  <c r="D87" s="1"/>
  <c r="D88" s="1"/>
  <c r="D100" s="1"/>
  <c r="D70"/>
  <c r="D72" s="1"/>
  <c r="D65"/>
  <c r="D110"/>
  <c r="D107"/>
  <c r="D49"/>
  <c r="F40" i="12"/>
  <c r="F41" s="1"/>
  <c r="D46"/>
  <c r="I40"/>
  <c r="G40"/>
  <c r="G68"/>
  <c r="I41"/>
  <c r="A41"/>
  <c r="G41"/>
  <c r="G81"/>
  <c r="G80"/>
  <c r="F43"/>
  <c r="D43"/>
  <c r="D44" s="1"/>
  <c r="F92"/>
  <c r="I31"/>
  <c r="I43"/>
  <c r="I44" s="1"/>
  <c r="G31"/>
  <c r="G84"/>
  <c r="G85" s="1"/>
  <c r="G43"/>
  <c r="D41"/>
  <c r="G92"/>
  <c r="F29"/>
  <c r="F84"/>
  <c r="F85" s="1"/>
  <c r="D29"/>
  <c r="D84"/>
  <c r="D85" s="1"/>
  <c r="I29"/>
  <c r="F46"/>
  <c r="I80"/>
  <c r="I84"/>
  <c r="I85" s="1"/>
  <c r="F80"/>
  <c r="D80"/>
  <c r="G29"/>
  <c r="D97" i="9"/>
  <c r="I153" i="11"/>
  <c r="D153"/>
  <c r="I152"/>
  <c r="D152"/>
  <c r="D155" s="1"/>
  <c r="D156" s="1"/>
  <c r="I149"/>
  <c r="D149"/>
  <c r="I79"/>
  <c r="D79"/>
  <c r="I77"/>
  <c r="I106" s="1"/>
  <c r="D77"/>
  <c r="D106" s="1"/>
  <c r="I76"/>
  <c r="I81" s="1"/>
  <c r="D76"/>
  <c r="D81" s="1"/>
  <c r="D92" s="1"/>
  <c r="I66"/>
  <c r="D66"/>
  <c r="I64"/>
  <c r="D64"/>
  <c r="I56"/>
  <c r="I67" s="1"/>
  <c r="I68" s="1"/>
  <c r="D56"/>
  <c r="D67" s="1"/>
  <c r="D68" s="1"/>
  <c r="A48"/>
  <c r="A50" s="1"/>
  <c r="I46"/>
  <c r="I42"/>
  <c r="D40"/>
  <c r="A40"/>
  <c r="I38"/>
  <c r="I35" s="1"/>
  <c r="D38"/>
  <c r="D35"/>
  <c r="I28"/>
  <c r="D28"/>
  <c r="I23"/>
  <c r="D23"/>
  <c r="I6"/>
  <c r="D6"/>
  <c r="A26" i="10"/>
  <c r="F27"/>
  <c r="F25"/>
  <c r="F28" s="1"/>
  <c r="A27" s="1"/>
  <c r="I153"/>
  <c r="G153"/>
  <c r="F153"/>
  <c r="D153"/>
  <c r="I152"/>
  <c r="I155" s="1"/>
  <c r="I156" s="1"/>
  <c r="G152"/>
  <c r="G155" s="1"/>
  <c r="G156" s="1"/>
  <c r="F152"/>
  <c r="F155" s="1"/>
  <c r="F156" s="1"/>
  <c r="D152"/>
  <c r="D155" s="1"/>
  <c r="D156" s="1"/>
  <c r="I149"/>
  <c r="G149"/>
  <c r="F149"/>
  <c r="D149"/>
  <c r="F106"/>
  <c r="I79"/>
  <c r="G79"/>
  <c r="F79"/>
  <c r="D79"/>
  <c r="I77"/>
  <c r="I106" s="1"/>
  <c r="G77"/>
  <c r="G106" s="1"/>
  <c r="F77"/>
  <c r="D77"/>
  <c r="D106" s="1"/>
  <c r="I76"/>
  <c r="I81" s="1"/>
  <c r="I92" s="1"/>
  <c r="D76"/>
  <c r="D81" s="1"/>
  <c r="I66"/>
  <c r="G66"/>
  <c r="F66"/>
  <c r="D66"/>
  <c r="I64"/>
  <c r="D64"/>
  <c r="G63"/>
  <c r="G76" s="1"/>
  <c r="G81" s="1"/>
  <c r="G92" s="1"/>
  <c r="F63"/>
  <c r="F76" s="1"/>
  <c r="I56"/>
  <c r="I67" s="1"/>
  <c r="I68" s="1"/>
  <c r="G56"/>
  <c r="G67" s="1"/>
  <c r="G68" s="1"/>
  <c r="F56"/>
  <c r="F67" s="1"/>
  <c r="F68" s="1"/>
  <c r="D56"/>
  <c r="D67" s="1"/>
  <c r="D68" s="1"/>
  <c r="A48"/>
  <c r="A50" s="1"/>
  <c r="G46"/>
  <c r="I42"/>
  <c r="G42"/>
  <c r="F42"/>
  <c r="D42"/>
  <c r="G40"/>
  <c r="A40"/>
  <c r="I38"/>
  <c r="I35" s="1"/>
  <c r="G38"/>
  <c r="F38"/>
  <c r="F40" s="1"/>
  <c r="D38"/>
  <c r="D40" s="1"/>
  <c r="G35"/>
  <c r="F35"/>
  <c r="D35"/>
  <c r="I28"/>
  <c r="G28"/>
  <c r="D28"/>
  <c r="I23"/>
  <c r="G23"/>
  <c r="F23"/>
  <c r="D23"/>
  <c r="I6"/>
  <c r="G6"/>
  <c r="F6"/>
  <c r="D6"/>
  <c r="G153" i="9"/>
  <c r="G152"/>
  <c r="G149"/>
  <c r="F103" i="10"/>
  <c r="A13"/>
  <c r="B2"/>
  <c r="D32"/>
  <c r="I101" i="11"/>
  <c r="F33" i="10"/>
  <c r="D34"/>
  <c r="B4" i="11"/>
  <c r="I34"/>
  <c r="G32" i="10"/>
  <c r="A9"/>
  <c r="D103"/>
  <c r="D102"/>
  <c r="A13" i="11"/>
  <c r="A12" i="10"/>
  <c r="F102"/>
  <c r="A15"/>
  <c r="I103" i="11"/>
  <c r="I32" i="10"/>
  <c r="I102" i="11"/>
  <c r="I33" i="10"/>
  <c r="I103"/>
  <c r="A11" i="11"/>
  <c r="F101" i="10"/>
  <c r="F32"/>
  <c r="G34"/>
  <c r="I102"/>
  <c r="G102"/>
  <c r="A8"/>
  <c r="D101" i="11"/>
  <c r="A10"/>
  <c r="A10" i="10"/>
  <c r="A11"/>
  <c r="G101"/>
  <c r="I33" i="11"/>
  <c r="F34" i="10"/>
  <c r="I34"/>
  <c r="A9" i="11"/>
  <c r="D103"/>
  <c r="D33" i="10"/>
  <c r="I101"/>
  <c r="G103"/>
  <c r="A14" i="11"/>
  <c r="B4" i="10"/>
  <c r="A12" i="11"/>
  <c r="D102"/>
  <c r="G33" i="10"/>
  <c r="D32" i="11"/>
  <c r="I32"/>
  <c r="A14" i="10"/>
  <c r="D33" i="11"/>
  <c r="A15"/>
  <c r="A8"/>
  <c r="B2"/>
  <c r="D34"/>
  <c r="I142" i="10"/>
  <c r="D142" i="11"/>
  <c r="G142" i="10"/>
  <c r="D142"/>
  <c r="G142" i="9"/>
  <c r="F142" i="10"/>
  <c r="I142" i="11"/>
  <c r="D93" i="13" l="1"/>
  <c r="D146" s="1"/>
  <c r="D78"/>
  <c r="D98" s="1"/>
  <c r="D109"/>
  <c r="D111" s="1"/>
  <c r="D90"/>
  <c r="I40" i="10"/>
  <c r="I41" s="1"/>
  <c r="I40" i="11"/>
  <c r="G44" i="12"/>
  <c r="I92" i="11"/>
  <c r="I155"/>
  <c r="I156" s="1"/>
  <c r="F44" i="12"/>
  <c r="F31"/>
  <c r="D31"/>
  <c r="G69"/>
  <c r="G30"/>
  <c r="G99" s="1"/>
  <c r="G47"/>
  <c r="G45"/>
  <c r="G51" s="1"/>
  <c r="I69"/>
  <c r="I30"/>
  <c r="I99" s="1"/>
  <c r="I47"/>
  <c r="I45"/>
  <c r="I51" s="1"/>
  <c r="D141" i="11"/>
  <c r="I141"/>
  <c r="A41"/>
  <c r="I41"/>
  <c r="I84"/>
  <c r="I85" s="1"/>
  <c r="D43"/>
  <c r="D44" s="1"/>
  <c r="I43"/>
  <c r="I44" s="1"/>
  <c r="D31"/>
  <c r="D41"/>
  <c r="I31"/>
  <c r="D29"/>
  <c r="D80"/>
  <c r="I29"/>
  <c r="I80"/>
  <c r="D84"/>
  <c r="D85" s="1"/>
  <c r="D46"/>
  <c r="I141" i="10"/>
  <c r="G141"/>
  <c r="F141"/>
  <c r="D141"/>
  <c r="F46"/>
  <c r="G41"/>
  <c r="F41"/>
  <c r="F81"/>
  <c r="F92" s="1"/>
  <c r="F80"/>
  <c r="D41"/>
  <c r="A41"/>
  <c r="D43"/>
  <c r="D44" s="1"/>
  <c r="I31"/>
  <c r="I43"/>
  <c r="I44" s="1"/>
  <c r="D92"/>
  <c r="G31"/>
  <c r="G84"/>
  <c r="G85" s="1"/>
  <c r="G43"/>
  <c r="G44" s="1"/>
  <c r="F31"/>
  <c r="F84"/>
  <c r="F85" s="1"/>
  <c r="F43"/>
  <c r="F44" s="1"/>
  <c r="D29"/>
  <c r="D80"/>
  <c r="D84"/>
  <c r="D85" s="1"/>
  <c r="I29"/>
  <c r="I80"/>
  <c r="I84"/>
  <c r="I85" s="1"/>
  <c r="G29"/>
  <c r="D46"/>
  <c r="G80"/>
  <c r="F29"/>
  <c r="I46"/>
  <c r="G155" i="9"/>
  <c r="G156" s="1"/>
  <c r="G141"/>
  <c r="G103"/>
  <c r="D101" i="10"/>
  <c r="D95" i="13" l="1"/>
  <c r="D145" s="1"/>
  <c r="I49" i="12"/>
  <c r="I107"/>
  <c r="I110"/>
  <c r="G107"/>
  <c r="G108" s="1"/>
  <c r="G49"/>
  <c r="G110"/>
  <c r="F30"/>
  <c r="F99" s="1"/>
  <c r="F47"/>
  <c r="F45"/>
  <c r="F51" s="1"/>
  <c r="F69"/>
  <c r="I70"/>
  <c r="I72" s="1"/>
  <c r="I65"/>
  <c r="G70"/>
  <c r="G72" s="1"/>
  <c r="G65"/>
  <c r="D47"/>
  <c r="D45"/>
  <c r="D51" s="1"/>
  <c r="D69"/>
  <c r="D30"/>
  <c r="D99" s="1"/>
  <c r="I53"/>
  <c r="I86" s="1"/>
  <c r="G53"/>
  <c r="G86" s="1"/>
  <c r="I69" i="11"/>
  <c r="I30"/>
  <c r="I99" s="1"/>
  <c r="I47"/>
  <c r="I45"/>
  <c r="I51" s="1"/>
  <c r="D47"/>
  <c r="D45"/>
  <c r="D51" s="1"/>
  <c r="D30"/>
  <c r="D99" s="1"/>
  <c r="D69"/>
  <c r="D31" i="10"/>
  <c r="G69"/>
  <c r="G30"/>
  <c r="G99" s="1"/>
  <c r="G47"/>
  <c r="G45"/>
  <c r="G51" s="1"/>
  <c r="I47"/>
  <c r="I45"/>
  <c r="I51" s="1"/>
  <c r="I69"/>
  <c r="I30"/>
  <c r="I99" s="1"/>
  <c r="F69"/>
  <c r="F30"/>
  <c r="F99" s="1"/>
  <c r="F47"/>
  <c r="F45"/>
  <c r="F51" s="1"/>
  <c r="G79" i="9"/>
  <c r="G77"/>
  <c r="G106" s="1"/>
  <c r="G66"/>
  <c r="G63"/>
  <c r="G56"/>
  <c r="G67" s="1"/>
  <c r="G42"/>
  <c r="G38"/>
  <c r="G32"/>
  <c r="G102"/>
  <c r="G33"/>
  <c r="G101"/>
  <c r="G34"/>
  <c r="D65" i="12" l="1"/>
  <c r="D70"/>
  <c r="D72" s="1"/>
  <c r="F70"/>
  <c r="F72" s="1"/>
  <c r="F65"/>
  <c r="G87"/>
  <c r="G88" s="1"/>
  <c r="G78"/>
  <c r="G98" s="1"/>
  <c r="G93"/>
  <c r="G109"/>
  <c r="G111" s="1"/>
  <c r="D110"/>
  <c r="D107"/>
  <c r="D49"/>
  <c r="F110"/>
  <c r="F107"/>
  <c r="F108" s="1"/>
  <c r="F49"/>
  <c r="I109"/>
  <c r="I111" s="1"/>
  <c r="I93"/>
  <c r="I87"/>
  <c r="I88" s="1"/>
  <c r="I78"/>
  <c r="I98" s="1"/>
  <c r="D53"/>
  <c r="D86" s="1"/>
  <c r="F53"/>
  <c r="F86" s="1"/>
  <c r="G53" i="10"/>
  <c r="G86" s="1"/>
  <c r="G93" s="1"/>
  <c r="D53" i="11"/>
  <c r="D86" s="1"/>
  <c r="D93" s="1"/>
  <c r="I53"/>
  <c r="I86" s="1"/>
  <c r="I78" s="1"/>
  <c r="I70"/>
  <c r="I72" s="1"/>
  <c r="I65"/>
  <c r="D110"/>
  <c r="D107"/>
  <c r="D49"/>
  <c r="D70"/>
  <c r="D72" s="1"/>
  <c r="D65"/>
  <c r="I107"/>
  <c r="I49"/>
  <c r="I110"/>
  <c r="F53" i="10"/>
  <c r="F86" s="1"/>
  <c r="F78" s="1"/>
  <c r="I53"/>
  <c r="I86" s="1"/>
  <c r="I78" s="1"/>
  <c r="F70"/>
  <c r="F72" s="1"/>
  <c r="F65"/>
  <c r="G70"/>
  <c r="G72" s="1"/>
  <c r="G65"/>
  <c r="D47"/>
  <c r="D45"/>
  <c r="D51" s="1"/>
  <c r="D69"/>
  <c r="D30"/>
  <c r="D99" s="1"/>
  <c r="I107"/>
  <c r="I49"/>
  <c r="I110"/>
  <c r="I70"/>
  <c r="I72" s="1"/>
  <c r="I65"/>
  <c r="F110"/>
  <c r="F107"/>
  <c r="F108" s="1"/>
  <c r="F49"/>
  <c r="G49"/>
  <c r="G110"/>
  <c r="G107"/>
  <c r="G108" s="1"/>
  <c r="G68" i="9"/>
  <c r="G43"/>
  <c r="G35"/>
  <c r="G84"/>
  <c r="G85" s="1"/>
  <c r="G40"/>
  <c r="G41" s="1"/>
  <c r="G76"/>
  <c r="G28"/>
  <c r="G46" s="1"/>
  <c r="G23"/>
  <c r="G6"/>
  <c r="F63"/>
  <c r="I153"/>
  <c r="F153"/>
  <c r="D153"/>
  <c r="I152"/>
  <c r="F152"/>
  <c r="F155" s="1"/>
  <c r="F156" s="1"/>
  <c r="D152"/>
  <c r="I149"/>
  <c r="F149"/>
  <c r="D149"/>
  <c r="I103"/>
  <c r="I102"/>
  <c r="F102"/>
  <c r="F103"/>
  <c r="D102"/>
  <c r="D103"/>
  <c r="F142"/>
  <c r="I142"/>
  <c r="D142"/>
  <c r="G87" i="10" l="1"/>
  <c r="G88" s="1"/>
  <c r="G100" s="1"/>
  <c r="G78"/>
  <c r="G98" s="1"/>
  <c r="G90" i="12"/>
  <c r="G100"/>
  <c r="D109"/>
  <c r="D111" s="1"/>
  <c r="D78"/>
  <c r="D98" s="1"/>
  <c r="D87"/>
  <c r="D88" s="1"/>
  <c r="D93"/>
  <c r="I146"/>
  <c r="I95"/>
  <c r="I145" s="1"/>
  <c r="F93"/>
  <c r="F87"/>
  <c r="F88" s="1"/>
  <c r="F78"/>
  <c r="H107" s="1"/>
  <c r="F109"/>
  <c r="F111" s="1"/>
  <c r="I100"/>
  <c r="I90"/>
  <c r="G146"/>
  <c r="G95"/>
  <c r="G145" s="1"/>
  <c r="G109" i="10"/>
  <c r="G111" s="1"/>
  <c r="I109" i="11"/>
  <c r="I111" s="1"/>
  <c r="D109"/>
  <c r="D111" s="1"/>
  <c r="D78"/>
  <c r="D98" s="1"/>
  <c r="D87"/>
  <c r="D88" s="1"/>
  <c r="D90" s="1"/>
  <c r="I93"/>
  <c r="I95" s="1"/>
  <c r="I145" s="1"/>
  <c r="I87"/>
  <c r="I88" s="1"/>
  <c r="I90" s="1"/>
  <c r="I109" i="10"/>
  <c r="I111" s="1"/>
  <c r="I93"/>
  <c r="I95" s="1"/>
  <c r="I145" s="1"/>
  <c r="I98" i="11"/>
  <c r="D146"/>
  <c r="D95"/>
  <c r="D145" s="1"/>
  <c r="F93" i="10"/>
  <c r="F95" s="1"/>
  <c r="F145" s="1"/>
  <c r="F109"/>
  <c r="F111" s="1"/>
  <c r="F87"/>
  <c r="F88" s="1"/>
  <c r="F100" s="1"/>
  <c r="D53"/>
  <c r="D86" s="1"/>
  <c r="D93" s="1"/>
  <c r="I87"/>
  <c r="I88" s="1"/>
  <c r="I90" s="1"/>
  <c r="D70"/>
  <c r="D72" s="1"/>
  <c r="D65"/>
  <c r="G146"/>
  <c r="G95"/>
  <c r="G145" s="1"/>
  <c r="D110"/>
  <c r="D107"/>
  <c r="D49"/>
  <c r="H107"/>
  <c r="I98"/>
  <c r="F98"/>
  <c r="G29" i="9"/>
  <c r="I155"/>
  <c r="I156" s="1"/>
  <c r="G80"/>
  <c r="G81"/>
  <c r="G92" s="1"/>
  <c r="G31"/>
  <c r="G44"/>
  <c r="D155"/>
  <c r="D156" s="1"/>
  <c r="D141"/>
  <c r="I141"/>
  <c r="F141"/>
  <c r="I79"/>
  <c r="F79"/>
  <c r="D79"/>
  <c r="I77"/>
  <c r="I106" s="1"/>
  <c r="F77"/>
  <c r="F106" s="1"/>
  <c r="D77"/>
  <c r="D106" s="1"/>
  <c r="I76"/>
  <c r="I81" s="1"/>
  <c r="F76"/>
  <c r="F81" s="1"/>
  <c r="D76"/>
  <c r="D81" s="1"/>
  <c r="I66"/>
  <c r="F66"/>
  <c r="D66"/>
  <c r="I64"/>
  <c r="D64"/>
  <c r="I56"/>
  <c r="I67" s="1"/>
  <c r="F56"/>
  <c r="F67" s="1"/>
  <c r="D56"/>
  <c r="D67" s="1"/>
  <c r="A50"/>
  <c r="A48"/>
  <c r="I42"/>
  <c r="F42"/>
  <c r="D42"/>
  <c r="A40"/>
  <c r="I38"/>
  <c r="I35" s="1"/>
  <c r="F38"/>
  <c r="F40" s="1"/>
  <c r="D38"/>
  <c r="D35" s="1"/>
  <c r="F35"/>
  <c r="F34"/>
  <c r="F32"/>
  <c r="D32"/>
  <c r="I101"/>
  <c r="I32"/>
  <c r="D33"/>
  <c r="F33"/>
  <c r="F101"/>
  <c r="I34"/>
  <c r="I33"/>
  <c r="I100" i="11" l="1"/>
  <c r="G90" i="10"/>
  <c r="D100" i="12"/>
  <c r="D90"/>
  <c r="F146"/>
  <c r="F95"/>
  <c r="F145" s="1"/>
  <c r="H93"/>
  <c r="D146"/>
  <c r="D95"/>
  <c r="D145" s="1"/>
  <c r="F100"/>
  <c r="F90"/>
  <c r="F98"/>
  <c r="F146" i="10"/>
  <c r="D100" i="11"/>
  <c r="I146"/>
  <c r="I146" i="10"/>
  <c r="I100"/>
  <c r="H90" i="11"/>
  <c r="H93"/>
  <c r="H107"/>
  <c r="F90" i="10"/>
  <c r="H93"/>
  <c r="D87"/>
  <c r="D88" s="1"/>
  <c r="D100" s="1"/>
  <c r="D78"/>
  <c r="D98" s="1"/>
  <c r="D109"/>
  <c r="D111" s="1"/>
  <c r="D146"/>
  <c r="D95"/>
  <c r="D145" s="1"/>
  <c r="I68" i="9"/>
  <c r="F68"/>
  <c r="D92"/>
  <c r="G69"/>
  <c r="G45"/>
  <c r="G51" s="1"/>
  <c r="G47"/>
  <c r="G30"/>
  <c r="G99" s="1"/>
  <c r="I40"/>
  <c r="I41" s="1"/>
  <c r="D68"/>
  <c r="I92"/>
  <c r="F41"/>
  <c r="A41"/>
  <c r="D43"/>
  <c r="I43"/>
  <c r="F92"/>
  <c r="F43"/>
  <c r="F44" s="1"/>
  <c r="D80"/>
  <c r="D84"/>
  <c r="D85" s="1"/>
  <c r="I80"/>
  <c r="I84"/>
  <c r="I85" s="1"/>
  <c r="D40"/>
  <c r="D41" s="1"/>
  <c r="F80"/>
  <c r="F84"/>
  <c r="F85" s="1"/>
  <c r="I28"/>
  <c r="I31" s="1"/>
  <c r="F28"/>
  <c r="F46" s="1"/>
  <c r="D28"/>
  <c r="I23"/>
  <c r="F23"/>
  <c r="D23"/>
  <c r="A13"/>
  <c r="A11"/>
  <c r="A9"/>
  <c r="A14"/>
  <c r="A10"/>
  <c r="A12"/>
  <c r="A15"/>
  <c r="A8"/>
  <c r="D34"/>
  <c r="D101"/>
  <c r="H90" i="12" l="1"/>
  <c r="D31" i="9"/>
  <c r="D30" s="1"/>
  <c r="D99" s="1"/>
  <c r="D90" i="10"/>
  <c r="H90" s="1"/>
  <c r="I44" i="9"/>
  <c r="G53"/>
  <c r="G86" s="1"/>
  <c r="G65"/>
  <c r="G70"/>
  <c r="G72" s="1"/>
  <c r="G110"/>
  <c r="G107"/>
  <c r="G108" s="1"/>
  <c r="G49"/>
  <c r="D46"/>
  <c r="I46"/>
  <c r="D47"/>
  <c r="I69"/>
  <c r="I47"/>
  <c r="I45"/>
  <c r="I51" s="1"/>
  <c r="I30"/>
  <c r="I99" s="1"/>
  <c r="F29"/>
  <c r="F31"/>
  <c r="D29"/>
  <c r="I29"/>
  <c r="D44"/>
  <c r="I6"/>
  <c r="F6"/>
  <c r="D6"/>
  <c r="B2"/>
  <c r="B4"/>
  <c r="D69" l="1"/>
  <c r="D70" s="1"/>
  <c r="D45"/>
  <c r="G109"/>
  <c r="G111" s="1"/>
  <c r="G78"/>
  <c r="G98" s="1"/>
  <c r="G93"/>
  <c r="G95" s="1"/>
  <c r="G145" s="1"/>
  <c r="G87"/>
  <c r="G88" s="1"/>
  <c r="G100" s="1"/>
  <c r="I53"/>
  <c r="I86" s="1"/>
  <c r="I78" s="1"/>
  <c r="F69"/>
  <c r="F47"/>
  <c r="F45"/>
  <c r="F51" s="1"/>
  <c r="F107" s="1"/>
  <c r="F108" s="1"/>
  <c r="F30"/>
  <c r="F99" s="1"/>
  <c r="I70"/>
  <c r="I72" s="1"/>
  <c r="I65"/>
  <c r="I110"/>
  <c r="I107"/>
  <c r="I49"/>
  <c r="J153" i="8"/>
  <c r="J152"/>
  <c r="J149"/>
  <c r="J79"/>
  <c r="J77"/>
  <c r="J106" s="1"/>
  <c r="J76"/>
  <c r="J80" s="1"/>
  <c r="J66"/>
  <c r="J64"/>
  <c r="J56"/>
  <c r="J67" s="1"/>
  <c r="J42"/>
  <c r="J40"/>
  <c r="J38"/>
  <c r="J35" s="1"/>
  <c r="J34"/>
  <c r="J33"/>
  <c r="J101"/>
  <c r="J103"/>
  <c r="J32"/>
  <c r="J102"/>
  <c r="J142"/>
  <c r="D65" i="9" l="1"/>
  <c r="J68" i="8"/>
  <c r="J155"/>
  <c r="J156" s="1"/>
  <c r="D51" i="9"/>
  <c r="D49" s="1"/>
  <c r="G146"/>
  <c r="G90"/>
  <c r="I87"/>
  <c r="I88" s="1"/>
  <c r="I90" s="1"/>
  <c r="J141" i="8"/>
  <c r="I109" i="9"/>
  <c r="I111" s="1"/>
  <c r="I93"/>
  <c r="I146" s="1"/>
  <c r="I98"/>
  <c r="F53"/>
  <c r="F86" s="1"/>
  <c r="F78" s="1"/>
  <c r="F70"/>
  <c r="F72" s="1"/>
  <c r="F65"/>
  <c r="F110"/>
  <c r="F49"/>
  <c r="D72"/>
  <c r="J81" i="8"/>
  <c r="J92" s="1"/>
  <c r="J41"/>
  <c r="J84"/>
  <c r="J85" s="1"/>
  <c r="J43"/>
  <c r="J44" s="1"/>
  <c r="J28"/>
  <c r="J46" s="1"/>
  <c r="J23"/>
  <c r="J6"/>
  <c r="H64"/>
  <c r="H77"/>
  <c r="D77"/>
  <c r="D64"/>
  <c r="H76"/>
  <c r="D53" i="9" l="1"/>
  <c r="D86" s="1"/>
  <c r="D93" s="1"/>
  <c r="D95" s="1"/>
  <c r="D145" s="1"/>
  <c r="D107"/>
  <c r="D110"/>
  <c r="J29" i="8"/>
  <c r="I100" i="9"/>
  <c r="I95"/>
  <c r="I145" s="1"/>
  <c r="F87"/>
  <c r="F88" s="1"/>
  <c r="F100" s="1"/>
  <c r="F93"/>
  <c r="F109"/>
  <c r="F111" s="1"/>
  <c r="F98"/>
  <c r="H107"/>
  <c r="J31" i="8"/>
  <c r="H153"/>
  <c r="H152"/>
  <c r="H149"/>
  <c r="H142"/>
  <c r="D87" i="9" l="1"/>
  <c r="D88" s="1"/>
  <c r="D90" s="1"/>
  <c r="D146"/>
  <c r="D109"/>
  <c r="D111" s="1"/>
  <c r="H93"/>
  <c r="D78"/>
  <c r="D98" s="1"/>
  <c r="F146"/>
  <c r="F95"/>
  <c r="F145" s="1"/>
  <c r="F90"/>
  <c r="J47" i="8"/>
  <c r="J69"/>
  <c r="J45"/>
  <c r="J51" s="1"/>
  <c r="J30"/>
  <c r="J99" s="1"/>
  <c r="H155"/>
  <c r="H156" s="1"/>
  <c r="H141"/>
  <c r="H106"/>
  <c r="H103"/>
  <c r="D100" i="9" l="1"/>
  <c r="H90"/>
  <c r="J107" i="8"/>
  <c r="J110"/>
  <c r="J49"/>
  <c r="J65"/>
  <c r="J70"/>
  <c r="J72" s="1"/>
  <c r="J53"/>
  <c r="J86" s="1"/>
  <c r="H79"/>
  <c r="H66"/>
  <c r="H56"/>
  <c r="H67" s="1"/>
  <c r="H42"/>
  <c r="H38"/>
  <c r="H40" s="1"/>
  <c r="H33"/>
  <c r="H101"/>
  <c r="H32"/>
  <c r="H34"/>
  <c r="J109" l="1"/>
  <c r="J111" s="1"/>
  <c r="J93"/>
  <c r="J87"/>
  <c r="J88" s="1"/>
  <c r="J78"/>
  <c r="J98" s="1"/>
  <c r="H43"/>
  <c r="H44" s="1"/>
  <c r="H84"/>
  <c r="H85" s="1"/>
  <c r="H41"/>
  <c r="H35"/>
  <c r="H31"/>
  <c r="H29"/>
  <c r="H28"/>
  <c r="H46" s="1"/>
  <c r="H23"/>
  <c r="H6"/>
  <c r="F56" i="6"/>
  <c r="F66" i="8"/>
  <c r="F156"/>
  <c r="F153"/>
  <c r="F152" s="1"/>
  <c r="D153"/>
  <c r="D152"/>
  <c r="D149"/>
  <c r="F142"/>
  <c r="D142"/>
  <c r="J146" l="1"/>
  <c r="J95"/>
  <c r="J145" s="1"/>
  <c r="J90"/>
  <c r="J100"/>
  <c r="D155"/>
  <c r="D156" s="1"/>
  <c r="H47"/>
  <c r="H69"/>
  <c r="H65" s="1"/>
  <c r="H45"/>
  <c r="H51" s="1"/>
  <c r="H107" s="1"/>
  <c r="H30"/>
  <c r="F141"/>
  <c r="D141"/>
  <c r="D103"/>
  <c r="H110" l="1"/>
  <c r="H49"/>
  <c r="H53"/>
  <c r="H86" s="1"/>
  <c r="H78" s="1"/>
  <c r="I107" s="1"/>
  <c r="F79"/>
  <c r="D79"/>
  <c r="D66"/>
  <c r="A48"/>
  <c r="A50" s="1"/>
  <c r="D42"/>
  <c r="F42" s="1"/>
  <c r="A40"/>
  <c r="F38"/>
  <c r="F35" s="1"/>
  <c r="D38"/>
  <c r="D40" s="1"/>
  <c r="H102"/>
  <c r="H98" l="1"/>
  <c r="H99"/>
  <c r="H68"/>
  <c r="H70" s="1"/>
  <c r="H72" s="1"/>
  <c r="D35"/>
  <c r="F40"/>
  <c r="F28"/>
  <c r="D28"/>
  <c r="D46" s="1"/>
  <c r="F23"/>
  <c r="D23"/>
  <c r="D33"/>
  <c r="D34"/>
  <c r="A15"/>
  <c r="A8"/>
  <c r="F13"/>
  <c r="D32"/>
  <c r="A12"/>
  <c r="D101"/>
  <c r="A9"/>
  <c r="A13"/>
  <c r="A11"/>
  <c r="A10"/>
  <c r="A14"/>
  <c r="H81" l="1"/>
  <c r="H80"/>
  <c r="H109"/>
  <c r="H111" s="1"/>
  <c r="A41"/>
  <c r="D84"/>
  <c r="D85" s="1"/>
  <c r="D41"/>
  <c r="D43"/>
  <c r="D44" s="1"/>
  <c r="D29"/>
  <c r="F46"/>
  <c r="D31"/>
  <c r="F29"/>
  <c r="D6"/>
  <c r="F101"/>
  <c r="F32"/>
  <c r="F34"/>
  <c r="B2"/>
  <c r="B4"/>
  <c r="F33"/>
  <c r="F31" l="1"/>
  <c r="F47" s="1"/>
  <c r="F43"/>
  <c r="F44" s="1"/>
  <c r="F41"/>
  <c r="F84"/>
  <c r="F85" s="1"/>
  <c r="H92"/>
  <c r="H93" s="1"/>
  <c r="H87"/>
  <c r="H88" s="1"/>
  <c r="D47"/>
  <c r="D45"/>
  <c r="D51" s="1"/>
  <c r="D30"/>
  <c r="F151" i="7"/>
  <c r="F150"/>
  <c r="F147"/>
  <c r="F140"/>
  <c r="F45" i="8" l="1"/>
  <c r="F51" s="1"/>
  <c r="F110" s="1"/>
  <c r="F30"/>
  <c r="H146"/>
  <c r="H95"/>
  <c r="H90"/>
  <c r="H100"/>
  <c r="D110"/>
  <c r="D49"/>
  <c r="D53"/>
  <c r="D86" s="1"/>
  <c r="F153" i="7"/>
  <c r="F154" s="1"/>
  <c r="F139"/>
  <c r="F108"/>
  <c r="F105"/>
  <c r="F104"/>
  <c r="F101"/>
  <c r="F53" i="8" l="1"/>
  <c r="F86" s="1"/>
  <c r="F49"/>
  <c r="H145"/>
  <c r="F92" i="7"/>
  <c r="F77"/>
  <c r="F90" s="1"/>
  <c r="F74"/>
  <c r="F69"/>
  <c r="F65"/>
  <c r="F64"/>
  <c r="F63"/>
  <c r="F76" s="1"/>
  <c r="F58"/>
  <c r="F49"/>
  <c r="F42"/>
  <c r="F38"/>
  <c r="F40" s="1"/>
  <c r="F66" l="1"/>
  <c r="F35"/>
  <c r="F29"/>
  <c r="F28"/>
  <c r="F46" s="1"/>
  <c r="F23"/>
  <c r="F33"/>
  <c r="F100"/>
  <c r="F99"/>
  <c r="F32"/>
  <c r="F34"/>
  <c r="F31" l="1"/>
  <c r="F43"/>
  <c r="F44" s="1"/>
  <c r="F54"/>
  <c r="F83" s="1"/>
  <c r="F41"/>
  <c r="F6"/>
  <c r="D151"/>
  <c r="D150"/>
  <c r="D147"/>
  <c r="D140"/>
  <c r="D153" l="1"/>
  <c r="D154" s="1"/>
  <c r="F47"/>
  <c r="F53" s="1"/>
  <c r="F84" s="1"/>
  <c r="F67"/>
  <c r="F68" s="1"/>
  <c r="F70" s="1"/>
  <c r="F71" s="1"/>
  <c r="F45"/>
  <c r="F52" s="1"/>
  <c r="F30"/>
  <c r="F97" s="1"/>
  <c r="D139"/>
  <c r="D108"/>
  <c r="D104"/>
  <c r="D105" s="1"/>
  <c r="D101"/>
  <c r="F107" l="1"/>
  <c r="F109" s="1"/>
  <c r="F91"/>
  <c r="F85"/>
  <c r="F86" s="1"/>
  <c r="D92"/>
  <c r="D77"/>
  <c r="D74"/>
  <c r="D69"/>
  <c r="D65"/>
  <c r="D64"/>
  <c r="D63"/>
  <c r="D76" s="1"/>
  <c r="D58"/>
  <c r="D49"/>
  <c r="A48"/>
  <c r="A50" s="1"/>
  <c r="D42"/>
  <c r="A40"/>
  <c r="D38"/>
  <c r="D40" s="1"/>
  <c r="D90" l="1"/>
  <c r="F144"/>
  <c r="F93"/>
  <c r="F98"/>
  <c r="F88"/>
  <c r="D35"/>
  <c r="D66"/>
  <c r="D28"/>
  <c r="D46" s="1"/>
  <c r="D23"/>
  <c r="A10"/>
  <c r="A8"/>
  <c r="A13"/>
  <c r="A14"/>
  <c r="A11"/>
  <c r="A15"/>
  <c r="D13"/>
  <c r="A9"/>
  <c r="D99"/>
  <c r="A12"/>
  <c r="D32"/>
  <c r="D33"/>
  <c r="D100"/>
  <c r="F143" l="1"/>
  <c r="F94"/>
  <c r="A41"/>
  <c r="D54"/>
  <c r="D83" s="1"/>
  <c r="D43"/>
  <c r="D44" s="1"/>
  <c r="D41"/>
  <c r="D31"/>
  <c r="D29"/>
  <c r="D6"/>
  <c r="B4"/>
  <c r="D34"/>
  <c r="B2"/>
  <c r="D67" l="1"/>
  <c r="D68" s="1"/>
  <c r="D47"/>
  <c r="D53" s="1"/>
  <c r="D84" s="1"/>
  <c r="D45"/>
  <c r="D52" s="1"/>
  <c r="D30"/>
  <c r="D97" s="1"/>
  <c r="T150" i="6"/>
  <c r="T149"/>
  <c r="T146"/>
  <c r="T107"/>
  <c r="T104"/>
  <c r="T103"/>
  <c r="T91"/>
  <c r="T89"/>
  <c r="T76"/>
  <c r="T75"/>
  <c r="T73"/>
  <c r="T68"/>
  <c r="T64"/>
  <c r="T65" s="1"/>
  <c r="T63"/>
  <c r="T62"/>
  <c r="T57"/>
  <c r="T49"/>
  <c r="T42"/>
  <c r="T38"/>
  <c r="T40" s="1"/>
  <c r="T100"/>
  <c r="T139"/>
  <c r="T35" l="1"/>
  <c r="T152"/>
  <c r="T153" s="1"/>
  <c r="D70" i="7"/>
  <c r="D71" s="1"/>
  <c r="D91"/>
  <c r="D85"/>
  <c r="T138" i="6"/>
  <c r="T29"/>
  <c r="T28"/>
  <c r="T46" s="1"/>
  <c r="T23"/>
  <c r="T13"/>
  <c r="T33"/>
  <c r="T32"/>
  <c r="T98"/>
  <c r="T99"/>
  <c r="T34"/>
  <c r="D107" i="7" l="1"/>
  <c r="D109" s="1"/>
  <c r="D144"/>
  <c r="D93"/>
  <c r="D86"/>
  <c r="T81" i="6"/>
  <c r="T82" s="1"/>
  <c r="T41"/>
  <c r="T43"/>
  <c r="T44" s="1"/>
  <c r="T31"/>
  <c r="T6"/>
  <c r="D94" i="7" l="1"/>
  <c r="D143"/>
  <c r="D88"/>
  <c r="D98"/>
  <c r="T47" i="6"/>
  <c r="T53" s="1"/>
  <c r="T83" s="1"/>
  <c r="T66"/>
  <c r="T67" s="1"/>
  <c r="T69" s="1"/>
  <c r="T70" s="1"/>
  <c r="T45"/>
  <c r="T52" s="1"/>
  <c r="T30"/>
  <c r="T96" s="1"/>
  <c r="I153"/>
  <c r="I150"/>
  <c r="I149" s="1"/>
  <c r="I139"/>
  <c r="T106" l="1"/>
  <c r="T108" s="1"/>
  <c r="T90"/>
  <c r="T84"/>
  <c r="T85" s="1"/>
  <c r="I138"/>
  <c r="I76"/>
  <c r="I77" s="1"/>
  <c r="I64"/>
  <c r="I63"/>
  <c r="I60"/>
  <c r="I51"/>
  <c r="I107" s="1"/>
  <c r="I40"/>
  <c r="I38"/>
  <c r="I35" s="1"/>
  <c r="T143" l="1"/>
  <c r="T92"/>
  <c r="T97"/>
  <c r="T87"/>
  <c r="I28"/>
  <c r="I46" s="1"/>
  <c r="I23"/>
  <c r="I13"/>
  <c r="T142" l="1"/>
  <c r="T93"/>
  <c r="I29"/>
  <c r="F76"/>
  <c r="F77" s="1"/>
  <c r="H76"/>
  <c r="H77" s="1"/>
  <c r="L76"/>
  <c r="L77" s="1"/>
  <c r="K76"/>
  <c r="K77" s="1"/>
  <c r="R76"/>
  <c r="R77" s="1"/>
  <c r="Q76"/>
  <c r="Q77" s="1"/>
  <c r="N76"/>
  <c r="N77" s="1"/>
  <c r="O60"/>
  <c r="O153"/>
  <c r="N153"/>
  <c r="O150"/>
  <c r="O149" s="1"/>
  <c r="N150"/>
  <c r="N149" s="1"/>
  <c r="I32"/>
  <c r="I98"/>
  <c r="I34"/>
  <c r="I33"/>
  <c r="N139"/>
  <c r="O139"/>
  <c r="I41" l="1"/>
  <c r="I81"/>
  <c r="I82" s="1"/>
  <c r="I31"/>
  <c r="I45" s="1"/>
  <c r="I52" s="1"/>
  <c r="O138"/>
  <c r="N138"/>
  <c r="O76"/>
  <c r="O64"/>
  <c r="N64"/>
  <c r="O63"/>
  <c r="N63"/>
  <c r="O57"/>
  <c r="N57"/>
  <c r="O51"/>
  <c r="O107" s="1"/>
  <c r="N51"/>
  <c r="N107" s="1"/>
  <c r="O38"/>
  <c r="O35" s="1"/>
  <c r="N38"/>
  <c r="N40" s="1"/>
  <c r="I47" l="1"/>
  <c r="I53" s="1"/>
  <c r="I83" s="1"/>
  <c r="I30"/>
  <c r="I66"/>
  <c r="O77"/>
  <c r="O40"/>
  <c r="N35"/>
  <c r="O28"/>
  <c r="O46" s="1"/>
  <c r="N28"/>
  <c r="N46" s="1"/>
  <c r="O23"/>
  <c r="N23"/>
  <c r="N13"/>
  <c r="N32" s="1"/>
  <c r="O13"/>
  <c r="O32"/>
  <c r="O98"/>
  <c r="O29" l="1"/>
  <c r="N29"/>
  <c r="O31"/>
  <c r="R153"/>
  <c r="R150"/>
  <c r="R149" s="1"/>
  <c r="N33"/>
  <c r="O34"/>
  <c r="O33"/>
  <c r="N34"/>
  <c r="N98"/>
  <c r="R139"/>
  <c r="N81" l="1"/>
  <c r="N82" s="1"/>
  <c r="N41"/>
  <c r="N31"/>
  <c r="N66" s="1"/>
  <c r="O81"/>
  <c r="O82" s="1"/>
  <c r="O41"/>
  <c r="O66"/>
  <c r="O47"/>
  <c r="O53" s="1"/>
  <c r="O45"/>
  <c r="O52" s="1"/>
  <c r="O30"/>
  <c r="R138"/>
  <c r="R64"/>
  <c r="R63"/>
  <c r="R57"/>
  <c r="R51"/>
  <c r="R107" s="1"/>
  <c r="R38"/>
  <c r="R35" s="1"/>
  <c r="N47" l="1"/>
  <c r="N53" s="1"/>
  <c r="N83" s="1"/>
  <c r="N45"/>
  <c r="N52" s="1"/>
  <c r="N30"/>
  <c r="O83"/>
  <c r="R40"/>
  <c r="R28"/>
  <c r="R46" s="1"/>
  <c r="R23"/>
  <c r="R13"/>
  <c r="R98"/>
  <c r="R34"/>
  <c r="R32"/>
  <c r="R31" l="1"/>
  <c r="R29"/>
  <c r="Q57"/>
  <c r="Q153"/>
  <c r="Q150"/>
  <c r="Q149" s="1"/>
  <c r="R33"/>
  <c r="Q139"/>
  <c r="R81" l="1"/>
  <c r="R82" s="1"/>
  <c r="R41"/>
  <c r="R47"/>
  <c r="R53" s="1"/>
  <c r="R66"/>
  <c r="R45"/>
  <c r="R52" s="1"/>
  <c r="R30"/>
  <c r="Q138"/>
  <c r="Q64"/>
  <c r="Q63"/>
  <c r="Q51"/>
  <c r="Q107" s="1"/>
  <c r="Q38"/>
  <c r="R83" l="1"/>
  <c r="Q40"/>
  <c r="Q35"/>
  <c r="Q28"/>
  <c r="Q46" s="1"/>
  <c r="Q23"/>
  <c r="Q13"/>
  <c r="Q33"/>
  <c r="Q34"/>
  <c r="Q98"/>
  <c r="Q81" l="1"/>
  <c r="Q82" s="1"/>
  <c r="Q41"/>
  <c r="Q31"/>
  <c r="Q29"/>
  <c r="L153"/>
  <c r="L150"/>
  <c r="L149" s="1"/>
  <c r="Q32"/>
  <c r="L139"/>
  <c r="Q47" l="1"/>
  <c r="Q53" s="1"/>
  <c r="Q83" s="1"/>
  <c r="Q45"/>
  <c r="Q52" s="1"/>
  <c r="Q66"/>
  <c r="Q30"/>
  <c r="L138"/>
  <c r="L64"/>
  <c r="L63"/>
  <c r="L60"/>
  <c r="L51"/>
  <c r="L107" s="1"/>
  <c r="L38"/>
  <c r="L40" s="1"/>
  <c r="L35" l="1"/>
  <c r="L28"/>
  <c r="L46" s="1"/>
  <c r="L23"/>
  <c r="L13"/>
  <c r="L32"/>
  <c r="L33"/>
  <c r="L34"/>
  <c r="L98"/>
  <c r="L29" l="1"/>
  <c r="L81"/>
  <c r="L82" s="1"/>
  <c r="L41"/>
  <c r="L31"/>
  <c r="L47" l="1"/>
  <c r="L53" s="1"/>
  <c r="L83" s="1"/>
  <c r="L66"/>
  <c r="L45"/>
  <c r="L52" s="1"/>
  <c r="L30"/>
  <c r="K153" l="1"/>
  <c r="K150"/>
  <c r="K149" s="1"/>
  <c r="K139"/>
  <c r="K138" l="1"/>
  <c r="K64"/>
  <c r="K63"/>
  <c r="K60"/>
  <c r="K51"/>
  <c r="K107" s="1"/>
  <c r="K38"/>
  <c r="K35" s="1"/>
  <c r="K40" l="1"/>
  <c r="K28"/>
  <c r="K46" s="1"/>
  <c r="K23"/>
  <c r="K13"/>
  <c r="K33"/>
  <c r="K34"/>
  <c r="K32"/>
  <c r="K98"/>
  <c r="K29" l="1"/>
  <c r="K31"/>
  <c r="K41"/>
  <c r="K81"/>
  <c r="K82" s="1"/>
  <c r="A40"/>
  <c r="D42"/>
  <c r="D6"/>
  <c r="F42" l="1"/>
  <c r="I42"/>
  <c r="I43" s="1"/>
  <c r="I44" s="1"/>
  <c r="N42"/>
  <c r="N43" s="1"/>
  <c r="N44" s="1"/>
  <c r="O42"/>
  <c r="O43" s="1"/>
  <c r="O44" s="1"/>
  <c r="H42"/>
  <c r="R42"/>
  <c r="R43" s="1"/>
  <c r="R44" s="1"/>
  <c r="Q42"/>
  <c r="Q43" s="1"/>
  <c r="Q44" s="1"/>
  <c r="L42"/>
  <c r="L43" s="1"/>
  <c r="L44" s="1"/>
  <c r="K42"/>
  <c r="K43" s="1"/>
  <c r="K44" s="1"/>
  <c r="K47"/>
  <c r="K53" s="1"/>
  <c r="K83" s="1"/>
  <c r="K66"/>
  <c r="K45"/>
  <c r="K52" s="1"/>
  <c r="K30"/>
  <c r="H60"/>
  <c r="H64"/>
  <c r="F60"/>
  <c r="D57"/>
  <c r="A48"/>
  <c r="A50" s="1"/>
  <c r="H153" l="1"/>
  <c r="H150"/>
  <c r="H149" s="1"/>
  <c r="H139"/>
  <c r="H138" l="1"/>
  <c r="H63"/>
  <c r="H51"/>
  <c r="H38"/>
  <c r="H40" s="1"/>
  <c r="H107" l="1"/>
  <c r="H35"/>
  <c r="H28"/>
  <c r="H46" s="1"/>
  <c r="H23"/>
  <c r="H13"/>
  <c r="H98"/>
  <c r="H32"/>
  <c r="H34"/>
  <c r="H29" l="1"/>
  <c r="H31"/>
  <c r="H66" s="1"/>
  <c r="D107"/>
  <c r="D91"/>
  <c r="D64"/>
  <c r="D62"/>
  <c r="I62" s="1"/>
  <c r="F63"/>
  <c r="D68"/>
  <c r="D76"/>
  <c r="D73"/>
  <c r="D63"/>
  <c r="F153"/>
  <c r="F150"/>
  <c r="F149" s="1"/>
  <c r="D150"/>
  <c r="D149"/>
  <c r="D146"/>
  <c r="H33"/>
  <c r="D139"/>
  <c r="V139"/>
  <c r="F139"/>
  <c r="H41" l="1"/>
  <c r="H43"/>
  <c r="H44" s="1"/>
  <c r="H81"/>
  <c r="H82" s="1"/>
  <c r="I75"/>
  <c r="I61"/>
  <c r="N62"/>
  <c r="O62"/>
  <c r="R62"/>
  <c r="Q62"/>
  <c r="L62"/>
  <c r="K62"/>
  <c r="H62"/>
  <c r="H75" s="1"/>
  <c r="H47"/>
  <c r="H53" s="1"/>
  <c r="H45"/>
  <c r="H52" s="1"/>
  <c r="H30"/>
  <c r="D65"/>
  <c r="F62"/>
  <c r="F75" s="1"/>
  <c r="D152"/>
  <c r="D153" s="1"/>
  <c r="V138"/>
  <c r="F138"/>
  <c r="D138"/>
  <c r="V88"/>
  <c r="V103"/>
  <c r="V51"/>
  <c r="F51"/>
  <c r="F107" s="1"/>
  <c r="D49"/>
  <c r="V38"/>
  <c r="F38"/>
  <c r="D38"/>
  <c r="D40" s="1"/>
  <c r="D100"/>
  <c r="I99"/>
  <c r="H83" l="1"/>
  <c r="I96"/>
  <c r="I73"/>
  <c r="I74" s="1"/>
  <c r="I65"/>
  <c r="O75"/>
  <c r="O61"/>
  <c r="N75"/>
  <c r="N61"/>
  <c r="F35"/>
  <c r="F40"/>
  <c r="R75"/>
  <c r="R61"/>
  <c r="Q75"/>
  <c r="Q61"/>
  <c r="L75"/>
  <c r="L61"/>
  <c r="K75"/>
  <c r="K61"/>
  <c r="V104"/>
  <c r="V35"/>
  <c r="D35"/>
  <c r="V28"/>
  <c r="V29" s="1"/>
  <c r="F28"/>
  <c r="F46" s="1"/>
  <c r="D28"/>
  <c r="D29" s="1"/>
  <c r="V23"/>
  <c r="F23"/>
  <c r="D23"/>
  <c r="K99"/>
  <c r="D13"/>
  <c r="A12"/>
  <c r="R99"/>
  <c r="O99"/>
  <c r="A11"/>
  <c r="A14"/>
  <c r="B4"/>
  <c r="A15"/>
  <c r="A8"/>
  <c r="D99"/>
  <c r="N99"/>
  <c r="A9"/>
  <c r="B2"/>
  <c r="Q99"/>
  <c r="V13"/>
  <c r="A10"/>
  <c r="F13"/>
  <c r="A13"/>
  <c r="L99"/>
  <c r="V34"/>
  <c r="V32"/>
  <c r="V33"/>
  <c r="V98"/>
  <c r="I89" l="1"/>
  <c r="I103"/>
  <c r="O96"/>
  <c r="N96"/>
  <c r="O73"/>
  <c r="O74" s="1"/>
  <c r="O89" s="1"/>
  <c r="O65"/>
  <c r="N73"/>
  <c r="N74" s="1"/>
  <c r="N89" s="1"/>
  <c r="N65"/>
  <c r="V43"/>
  <c r="V44" s="1"/>
  <c r="L96"/>
  <c r="Q96"/>
  <c r="K96"/>
  <c r="R96"/>
  <c r="L65"/>
  <c r="L73"/>
  <c r="L74" s="1"/>
  <c r="L89" s="1"/>
  <c r="Q73"/>
  <c r="Q74" s="1"/>
  <c r="Q89" s="1"/>
  <c r="Q65"/>
  <c r="K65"/>
  <c r="K73"/>
  <c r="K74" s="1"/>
  <c r="K89" s="1"/>
  <c r="R73"/>
  <c r="R74" s="1"/>
  <c r="R89" s="1"/>
  <c r="R65"/>
  <c r="F29"/>
  <c r="V80"/>
  <c r="V81" s="1"/>
  <c r="V46"/>
  <c r="V31"/>
  <c r="D46"/>
  <c r="D102" i="4"/>
  <c r="D105" s="1"/>
  <c r="D106" s="1"/>
  <c r="J106"/>
  <c r="H106"/>
  <c r="J103"/>
  <c r="J102" s="1"/>
  <c r="H103"/>
  <c r="H102" s="1"/>
  <c r="D103"/>
  <c r="L75"/>
  <c r="F32" i="6"/>
  <c r="D33"/>
  <c r="D32"/>
  <c r="D34"/>
  <c r="F98"/>
  <c r="V99"/>
  <c r="F33"/>
  <c r="F34"/>
  <c r="D98"/>
  <c r="F41" l="1"/>
  <c r="F81"/>
  <c r="F82" s="1"/>
  <c r="F43"/>
  <c r="F44" s="1"/>
  <c r="F31"/>
  <c r="F66" s="1"/>
  <c r="F61" s="1"/>
  <c r="F73" s="1"/>
  <c r="D41"/>
  <c r="D81"/>
  <c r="D82" s="1"/>
  <c r="D43"/>
  <c r="D44" s="1"/>
  <c r="A41"/>
  <c r="D31"/>
  <c r="D66" s="1"/>
  <c r="D67" s="1"/>
  <c r="I67" s="1"/>
  <c r="I69" s="1"/>
  <c r="I130"/>
  <c r="I104"/>
  <c r="I129"/>
  <c r="N103"/>
  <c r="O103"/>
  <c r="K103"/>
  <c r="R103"/>
  <c r="Q103"/>
  <c r="L103"/>
  <c r="V45"/>
  <c r="V52" s="1"/>
  <c r="V47"/>
  <c r="V53" s="1"/>
  <c r="V82" s="1"/>
  <c r="V30"/>
  <c r="V96" s="1"/>
  <c r="F75" i="4"/>
  <c r="F99" i="6"/>
  <c r="F92" i="4"/>
  <c r="F45" i="6" l="1"/>
  <c r="F52" s="1"/>
  <c r="F30"/>
  <c r="F96" s="1"/>
  <c r="F47"/>
  <c r="F53" s="1"/>
  <c r="F83" s="1"/>
  <c r="D45"/>
  <c r="D52" s="1"/>
  <c r="D47"/>
  <c r="D53" s="1"/>
  <c r="D83" s="1"/>
  <c r="D84" s="1"/>
  <c r="I84" s="1"/>
  <c r="I85" s="1"/>
  <c r="I97" s="1"/>
  <c r="D30"/>
  <c r="D96" s="1"/>
  <c r="I70"/>
  <c r="I106"/>
  <c r="I108" s="1"/>
  <c r="O104"/>
  <c r="O129"/>
  <c r="O130"/>
  <c r="N130"/>
  <c r="N104"/>
  <c r="N129"/>
  <c r="N67"/>
  <c r="N69" s="1"/>
  <c r="O67"/>
  <c r="O69" s="1"/>
  <c r="L104"/>
  <c r="L130"/>
  <c r="L129"/>
  <c r="R104"/>
  <c r="R130"/>
  <c r="R129"/>
  <c r="Q104"/>
  <c r="Q130"/>
  <c r="Q129"/>
  <c r="R67"/>
  <c r="R69" s="1"/>
  <c r="Q67"/>
  <c r="Q69" s="1"/>
  <c r="L67"/>
  <c r="L69" s="1"/>
  <c r="K67"/>
  <c r="K69" s="1"/>
  <c r="K130"/>
  <c r="K104"/>
  <c r="K129"/>
  <c r="F67"/>
  <c r="H67"/>
  <c r="D69"/>
  <c r="D70" s="1"/>
  <c r="F65"/>
  <c r="F74"/>
  <c r="F89" s="1"/>
  <c r="F91" i="4"/>
  <c r="F59"/>
  <c r="F46"/>
  <c r="F60" s="1"/>
  <c r="F38"/>
  <c r="F84" i="6" l="1"/>
  <c r="O84"/>
  <c r="O85" s="1"/>
  <c r="O97" s="1"/>
  <c r="N84"/>
  <c r="N85" s="1"/>
  <c r="N97" s="1"/>
  <c r="L84"/>
  <c r="L85" s="1"/>
  <c r="H84"/>
  <c r="H85" s="1"/>
  <c r="R84"/>
  <c r="R85" s="1"/>
  <c r="Q84"/>
  <c r="Q85" s="1"/>
  <c r="D85"/>
  <c r="D97" s="1"/>
  <c r="K84"/>
  <c r="K85" s="1"/>
  <c r="N70"/>
  <c r="N106"/>
  <c r="N108" s="1"/>
  <c r="O70"/>
  <c r="O106"/>
  <c r="O108" s="1"/>
  <c r="Q70"/>
  <c r="Q106"/>
  <c r="Q108" s="1"/>
  <c r="L70"/>
  <c r="L106"/>
  <c r="L108" s="1"/>
  <c r="K70"/>
  <c r="K106"/>
  <c r="K108" s="1"/>
  <c r="R70"/>
  <c r="R106"/>
  <c r="R108" s="1"/>
  <c r="D106"/>
  <c r="D108" s="1"/>
  <c r="F69"/>
  <c r="F70" s="1"/>
  <c r="F103"/>
  <c r="F104" s="1"/>
  <c r="F35" i="4"/>
  <c r="F28"/>
  <c r="F29" s="1"/>
  <c r="F23"/>
  <c r="F13"/>
  <c r="F34"/>
  <c r="F88"/>
  <c r="F33"/>
  <c r="F32"/>
  <c r="D87" i="6" l="1"/>
  <c r="I87" s="1"/>
  <c r="K97"/>
  <c r="R97"/>
  <c r="Q97"/>
  <c r="L97"/>
  <c r="F106"/>
  <c r="F108" s="1"/>
  <c r="F68" i="4"/>
  <c r="F69" s="1"/>
  <c r="F41"/>
  <c r="L59"/>
  <c r="J59"/>
  <c r="J75"/>
  <c r="D75"/>
  <c r="F87"/>
  <c r="Q87" i="6" l="1"/>
  <c r="N87"/>
  <c r="O87"/>
  <c r="H87"/>
  <c r="F87"/>
  <c r="L87"/>
  <c r="K87"/>
  <c r="R87"/>
  <c r="F31" i="4"/>
  <c r="F42" s="1"/>
  <c r="F48" s="1"/>
  <c r="F70" s="1"/>
  <c r="F30" l="1"/>
  <c r="F85" s="1"/>
  <c r="F40"/>
  <c r="F47" s="1"/>
  <c r="F62"/>
  <c r="F61" s="1"/>
  <c r="F76"/>
  <c r="F78" s="1"/>
  <c r="F80" s="1"/>
  <c r="F72"/>
  <c r="F73" s="1"/>
  <c r="J44"/>
  <c r="J60"/>
  <c r="J38"/>
  <c r="J35"/>
  <c r="J92"/>
  <c r="F86" l="1"/>
  <c r="J91"/>
  <c r="J28"/>
  <c r="J41" s="1"/>
  <c r="J23"/>
  <c r="J13"/>
  <c r="J33"/>
  <c r="J87"/>
  <c r="J32"/>
  <c r="J88"/>
  <c r="J68" l="1"/>
  <c r="J69" s="1"/>
  <c r="J31"/>
  <c r="J29"/>
  <c r="D99"/>
  <c r="H46"/>
  <c r="H38"/>
  <c r="J34"/>
  <c r="J62" l="1"/>
  <c r="J61" s="1"/>
  <c r="J40"/>
  <c r="J47" s="1"/>
  <c r="J42"/>
  <c r="J48" s="1"/>
  <c r="J30"/>
  <c r="J85" s="1"/>
  <c r="H35"/>
  <c r="H29"/>
  <c r="H28"/>
  <c r="H41" s="1"/>
  <c r="H23"/>
  <c r="H13"/>
  <c r="H87"/>
  <c r="H88"/>
  <c r="H32"/>
  <c r="H33"/>
  <c r="H34"/>
  <c r="H68" l="1"/>
  <c r="H69" s="1"/>
  <c r="H31"/>
  <c r="D44"/>
  <c r="L92"/>
  <c r="H42" l="1"/>
  <c r="H48" s="1"/>
  <c r="H40"/>
  <c r="H47" s="1"/>
  <c r="H30"/>
  <c r="H85" s="1"/>
  <c r="L91"/>
  <c r="L38"/>
  <c r="L35" l="1"/>
  <c r="L28"/>
  <c r="L29" s="1"/>
  <c r="L23"/>
  <c r="L13"/>
  <c r="L34"/>
  <c r="L32"/>
  <c r="L88"/>
  <c r="L87"/>
  <c r="L33"/>
  <c r="L68" l="1"/>
  <c r="L69" s="1"/>
  <c r="L31"/>
  <c r="L41"/>
  <c r="L62" l="1"/>
  <c r="L40"/>
  <c r="L42"/>
  <c r="L30"/>
  <c r="D86" i="5"/>
  <c r="E86" s="1"/>
  <c r="E85"/>
  <c r="D85"/>
  <c r="D78"/>
  <c r="F77"/>
  <c r="L85" i="4" l="1"/>
  <c r="D87" i="5"/>
  <c r="E87" s="1"/>
  <c r="D64"/>
  <c r="F64"/>
  <c r="F63" l="1"/>
  <c r="D63"/>
  <c r="F60"/>
  <c r="D60"/>
  <c r="D56"/>
  <c r="F38"/>
  <c r="D38"/>
  <c r="D35" s="1"/>
  <c r="F33"/>
  <c r="F76"/>
  <c r="F32"/>
  <c r="F34"/>
  <c r="F67" l="1"/>
  <c r="F68" s="1"/>
  <c r="F35"/>
  <c r="D29"/>
  <c r="F28"/>
  <c r="F31" s="1"/>
  <c r="D28"/>
  <c r="D41" s="1"/>
  <c r="F23"/>
  <c r="D23"/>
  <c r="D13"/>
  <c r="D34"/>
  <c r="D77"/>
  <c r="A12"/>
  <c r="A11"/>
  <c r="A10"/>
  <c r="B2"/>
  <c r="A9"/>
  <c r="D33"/>
  <c r="A14"/>
  <c r="B4"/>
  <c r="A13"/>
  <c r="A8"/>
  <c r="D76"/>
  <c r="D32"/>
  <c r="A15"/>
  <c r="F41" l="1"/>
  <c r="D67"/>
  <c r="D68" s="1"/>
  <c r="F42"/>
  <c r="F40"/>
  <c r="F45"/>
  <c r="F56" s="1"/>
  <c r="F58"/>
  <c r="F30"/>
  <c r="F29"/>
  <c r="D89" i="4"/>
  <c r="D13"/>
  <c r="F57" i="5" l="1"/>
  <c r="F47"/>
  <c r="F69" s="1"/>
  <c r="F70" s="1"/>
  <c r="F71" s="1"/>
  <c r="F74"/>
  <c r="F44"/>
  <c r="D58"/>
  <c r="D57" s="1"/>
  <c r="D42"/>
  <c r="D47" s="1"/>
  <c r="D69" s="1"/>
  <c r="D70" s="1"/>
  <c r="D40"/>
  <c r="D46" s="1"/>
  <c r="D30"/>
  <c r="D74" s="1"/>
  <c r="D88" i="4"/>
  <c r="F75" i="5" l="1"/>
  <c r="D75"/>
  <c r="D71"/>
  <c r="F73" s="1"/>
  <c r="D38" i="4" l="1"/>
  <c r="D35" s="1"/>
  <c r="D28"/>
  <c r="D23"/>
  <c r="I35" i="1"/>
  <c r="D69" i="3"/>
  <c r="D97"/>
  <c r="D98" s="1"/>
  <c r="D133"/>
  <c r="D74"/>
  <c r="B4" i="4"/>
  <c r="D87"/>
  <c r="D32"/>
  <c r="D34"/>
  <c r="A15"/>
  <c r="A9"/>
  <c r="A11"/>
  <c r="A10"/>
  <c r="A14"/>
  <c r="A8"/>
  <c r="B2"/>
  <c r="D33"/>
  <c r="A12"/>
  <c r="A13"/>
  <c r="D61" i="3"/>
  <c r="D92" i="4"/>
  <c r="D29" l="1"/>
  <c r="D68"/>
  <c r="D69" s="1"/>
  <c r="D41"/>
  <c r="D91"/>
  <c r="D31"/>
  <c r="D60" i="3"/>
  <c r="D57"/>
  <c r="D71" s="1"/>
  <c r="D72" s="1"/>
  <c r="D75" s="1"/>
  <c r="D53"/>
  <c r="B50"/>
  <c r="B49"/>
  <c r="D32"/>
  <c r="D33"/>
  <c r="D31"/>
  <c r="D42" i="4" l="1"/>
  <c r="D48" s="1"/>
  <c r="D70" s="1"/>
  <c r="D30"/>
  <c r="D85" s="1"/>
  <c r="D40"/>
  <c r="D47" s="1"/>
  <c r="D34" i="3"/>
  <c r="D64"/>
  <c r="D65" s="1"/>
  <c r="B35"/>
  <c r="D27"/>
  <c r="D23"/>
  <c r="D20"/>
  <c r="D19"/>
  <c r="D72" i="4" l="1"/>
  <c r="D86" s="1"/>
  <c r="D30" i="3"/>
  <c r="D28"/>
  <c r="D40"/>
  <c r="D17"/>
  <c r="D15"/>
  <c r="B9"/>
  <c r="B8"/>
  <c r="B14"/>
  <c r="B13"/>
  <c r="B7"/>
  <c r="B12"/>
  <c r="C2"/>
  <c r="B11"/>
  <c r="B10"/>
  <c r="C4"/>
  <c r="H72" i="4" l="1"/>
  <c r="D73"/>
  <c r="B22" i="3"/>
  <c r="D85"/>
  <c r="D86"/>
  <c r="D55"/>
  <c r="D54" s="1"/>
  <c r="D39"/>
  <c r="D43" s="1"/>
  <c r="D29"/>
  <c r="D100" s="1"/>
  <c r="D101" s="1"/>
  <c r="D66"/>
  <c r="D67" s="1"/>
  <c r="D68" s="1"/>
  <c r="D18"/>
  <c r="B68" i="1"/>
  <c r="I98"/>
  <c r="I99" s="1"/>
  <c r="J183"/>
  <c r="J180"/>
  <c r="H20"/>
  <c r="J185"/>
  <c r="I169"/>
  <c r="I20"/>
  <c r="H61"/>
  <c r="J72" i="4" l="1"/>
  <c r="J73" s="1"/>
  <c r="L72"/>
  <c r="L73" s="1"/>
  <c r="H73"/>
  <c r="H86"/>
  <c r="I15" i="1"/>
  <c r="J186"/>
  <c r="J86" i="4" l="1"/>
  <c r="L100" i="1"/>
  <c r="L98"/>
  <c r="L99" s="1"/>
  <c r="N29"/>
  <c r="L134"/>
  <c r="K134"/>
  <c r="K100"/>
  <c r="K98"/>
  <c r="K99" s="1"/>
  <c r="K80"/>
  <c r="K75"/>
  <c r="L70"/>
  <c r="K70"/>
  <c r="L61"/>
  <c r="K61"/>
  <c r="L60" l="1"/>
  <c r="K60"/>
  <c r="L57"/>
  <c r="L72" s="1"/>
  <c r="L73" s="1"/>
  <c r="K57"/>
  <c r="K72" s="1"/>
  <c r="K73" s="1"/>
  <c r="L53"/>
  <c r="K53"/>
  <c r="L50"/>
  <c r="L37"/>
  <c r="L34" s="1"/>
  <c r="K37"/>
  <c r="K101"/>
  <c r="K34" l="1"/>
  <c r="K76"/>
  <c r="L64"/>
  <c r="L65" s="1"/>
  <c r="K64"/>
  <c r="K65" s="1"/>
  <c r="L27"/>
  <c r="K27"/>
  <c r="K28" s="1"/>
  <c r="L23"/>
  <c r="K23"/>
  <c r="L28" l="1"/>
  <c r="K40"/>
  <c r="L40"/>
  <c r="S36" i="2"/>
  <c r="S38" s="1"/>
  <c r="R36"/>
  <c r="R38" s="1"/>
  <c r="Q36"/>
  <c r="Q38" s="1"/>
  <c r="P36"/>
  <c r="P38" s="1"/>
  <c r="O36"/>
  <c r="O38" s="1"/>
  <c r="N36"/>
  <c r="N38" s="1"/>
  <c r="M36"/>
  <c r="M38" s="1"/>
  <c r="L36"/>
  <c r="L38" s="1"/>
  <c r="K36"/>
  <c r="K38" s="1"/>
  <c r="J36"/>
  <c r="J38" s="1"/>
  <c r="I36"/>
  <c r="I38" s="1"/>
  <c r="H36"/>
  <c r="H38" s="1"/>
  <c r="G36"/>
  <c r="G38" s="1"/>
  <c r="F36"/>
  <c r="F38" s="1"/>
  <c r="E36"/>
  <c r="E38" s="1"/>
  <c r="S33"/>
  <c r="R33"/>
  <c r="Q33"/>
  <c r="P33"/>
  <c r="O33"/>
  <c r="N33"/>
  <c r="M33"/>
  <c r="L33"/>
  <c r="K33"/>
  <c r="J33"/>
  <c r="I33"/>
  <c r="H33"/>
  <c r="G33"/>
  <c r="F33"/>
  <c r="E33"/>
  <c r="F21"/>
  <c r="G21"/>
  <c r="H21"/>
  <c r="I21"/>
  <c r="J21"/>
  <c r="K21"/>
  <c r="L21"/>
  <c r="M21"/>
  <c r="N21"/>
  <c r="O21"/>
  <c r="P21"/>
  <c r="Q21"/>
  <c r="R21"/>
  <c r="S21"/>
  <c r="F24"/>
  <c r="F26" s="1"/>
  <c r="G24"/>
  <c r="G26" s="1"/>
  <c r="H24"/>
  <c r="H26" s="1"/>
  <c r="I24"/>
  <c r="I26" s="1"/>
  <c r="J24"/>
  <c r="J26" s="1"/>
  <c r="K24"/>
  <c r="K26" s="1"/>
  <c r="L24"/>
  <c r="L26" s="1"/>
  <c r="M24"/>
  <c r="M26" s="1"/>
  <c r="N24"/>
  <c r="N26" s="1"/>
  <c r="O24"/>
  <c r="O26" s="1"/>
  <c r="P24"/>
  <c r="P26" s="1"/>
  <c r="Q24"/>
  <c r="Q26" s="1"/>
  <c r="R24"/>
  <c r="R26" s="1"/>
  <c r="S24"/>
  <c r="S26" s="1"/>
  <c r="E21"/>
  <c r="E24"/>
  <c r="E26" s="1"/>
  <c r="H98" i="1"/>
  <c r="H99" s="1"/>
  <c r="I70"/>
  <c r="H70"/>
  <c r="H75"/>
  <c r="G126"/>
  <c r="I134"/>
  <c r="H134"/>
  <c r="W70"/>
  <c r="U70"/>
  <c r="T70"/>
  <c r="P70"/>
  <c r="O70"/>
  <c r="D4"/>
  <c r="D2"/>
  <c r="S61"/>
  <c r="L19" l="1"/>
  <c r="L30" s="1"/>
  <c r="L29" s="1"/>
  <c r="K19"/>
  <c r="K30" s="1"/>
  <c r="K29" s="1"/>
  <c r="G39" i="2"/>
  <c r="F39"/>
  <c r="P27"/>
  <c r="L27"/>
  <c r="H27"/>
  <c r="J27"/>
  <c r="H39"/>
  <c r="L39"/>
  <c r="P39"/>
  <c r="J39"/>
  <c r="N39"/>
  <c r="R27"/>
  <c r="R39"/>
  <c r="Q27"/>
  <c r="M27"/>
  <c r="I27"/>
  <c r="O39"/>
  <c r="N134" i="1"/>
  <c r="K39" i="2"/>
  <c r="S39"/>
  <c r="N27"/>
  <c r="F27"/>
  <c r="E27"/>
  <c r="S27"/>
  <c r="O27"/>
  <c r="K27"/>
  <c r="G27"/>
  <c r="E39"/>
  <c r="E41" s="1"/>
  <c r="I39"/>
  <c r="M39"/>
  <c r="Q39"/>
  <c r="S60" i="1"/>
  <c r="S57"/>
  <c r="S50"/>
  <c r="S34"/>
  <c r="S31"/>
  <c r="S32"/>
  <c r="S33"/>
  <c r="L86" l="1"/>
  <c r="L39"/>
  <c r="L43" s="1"/>
  <c r="L66"/>
  <c r="L67" s="1"/>
  <c r="L68" s="1"/>
  <c r="L55"/>
  <c r="L54" s="1"/>
  <c r="L87"/>
  <c r="K55"/>
  <c r="K54" s="1"/>
  <c r="K39"/>
  <c r="K43" s="1"/>
  <c r="K87"/>
  <c r="K86"/>
  <c r="K66"/>
  <c r="K67" s="1"/>
  <c r="K68" s="1"/>
  <c r="S64"/>
  <c r="S65" s="1"/>
  <c r="S27"/>
  <c r="S40" s="1"/>
  <c r="S23"/>
  <c r="S19"/>
  <c r="K79" l="1"/>
  <c r="S30"/>
  <c r="S66" s="1"/>
  <c r="S67" s="1"/>
  <c r="S79" s="1"/>
  <c r="S28"/>
  <c r="S17"/>
  <c r="S15"/>
  <c r="R19"/>
  <c r="R61"/>
  <c r="S86" l="1"/>
  <c r="S87"/>
  <c r="S55"/>
  <c r="S42"/>
  <c r="S39"/>
  <c r="R60"/>
  <c r="R57"/>
  <c r="R50"/>
  <c r="R34"/>
  <c r="R33"/>
  <c r="R32"/>
  <c r="R31"/>
  <c r="S53" l="1"/>
  <c r="S54" s="1"/>
  <c r="S70"/>
  <c r="R64"/>
  <c r="R65" s="1"/>
  <c r="R27"/>
  <c r="R23"/>
  <c r="R40" l="1"/>
  <c r="R82"/>
  <c r="S71"/>
  <c r="S72" s="1"/>
  <c r="S73" s="1"/>
  <c r="R30"/>
  <c r="R66" s="1"/>
  <c r="R67" s="1"/>
  <c r="R79" s="1"/>
  <c r="R28"/>
  <c r="R17"/>
  <c r="R15"/>
  <c r="R86" l="1"/>
  <c r="R87"/>
  <c r="R39"/>
  <c r="R55"/>
  <c r="R42"/>
  <c r="H60" l="1"/>
  <c r="R53"/>
  <c r="R54" s="1"/>
  <c r="R70"/>
  <c r="R72" s="1"/>
  <c r="R73" s="1"/>
  <c r="H57"/>
  <c r="H37"/>
  <c r="H34" l="1"/>
  <c r="H27"/>
  <c r="H23"/>
  <c r="H19"/>
  <c r="H32"/>
  <c r="H64" l="1"/>
  <c r="H40"/>
  <c r="H30"/>
  <c r="H28"/>
  <c r="H17"/>
  <c r="H15"/>
  <c r="H33"/>
  <c r="H31"/>
  <c r="H78"/>
  <c r="H18" l="1"/>
  <c r="H29"/>
  <c r="H101" s="1"/>
  <c r="H102" s="1"/>
  <c r="H65"/>
  <c r="H86" s="1"/>
  <c r="H87"/>
  <c r="H39"/>
  <c r="H43" s="1"/>
  <c r="H55"/>
  <c r="N50"/>
  <c r="N37"/>
  <c r="H79"/>
  <c r="H66" l="1"/>
  <c r="H67" s="1"/>
  <c r="H68" s="1"/>
  <c r="H80"/>
  <c r="N34"/>
  <c r="N27"/>
  <c r="N40" s="1"/>
  <c r="N23"/>
  <c r="N61"/>
  <c r="I61"/>
  <c r="N28" l="1"/>
  <c r="I60"/>
  <c r="N60"/>
  <c r="N57"/>
  <c r="N17" l="1"/>
  <c r="N15"/>
  <c r="N4"/>
  <c r="I57" l="1"/>
  <c r="I50"/>
  <c r="I37"/>
  <c r="I32"/>
  <c r="N32"/>
  <c r="N31"/>
  <c r="N19"/>
  <c r="N33"/>
  <c r="N30" l="1"/>
  <c r="N42" s="1"/>
  <c r="N53" s="1"/>
  <c r="N64"/>
  <c r="N65" s="1"/>
  <c r="I34"/>
  <c r="I27"/>
  <c r="I28" s="1"/>
  <c r="I23"/>
  <c r="N86" l="1"/>
  <c r="N70"/>
  <c r="N39"/>
  <c r="N87"/>
  <c r="N55"/>
  <c r="N54" s="1"/>
  <c r="N66"/>
  <c r="N67" s="1"/>
  <c r="I40"/>
  <c r="I17"/>
  <c r="I31"/>
  <c r="I19"/>
  <c r="I33"/>
  <c r="N71" l="1"/>
  <c r="N72" s="1"/>
  <c r="N73" s="1"/>
  <c r="I30"/>
  <c r="I64"/>
  <c r="I65" s="1"/>
  <c r="U57"/>
  <c r="T57"/>
  <c r="U50"/>
  <c r="T50"/>
  <c r="U49"/>
  <c r="T49"/>
  <c r="U37"/>
  <c r="U34" s="1"/>
  <c r="T37"/>
  <c r="T34" s="1"/>
  <c r="U35"/>
  <c r="T35"/>
  <c r="U61"/>
  <c r="T61"/>
  <c r="I39" l="1"/>
  <c r="I43" s="1"/>
  <c r="I66" s="1"/>
  <c r="I67" s="1"/>
  <c r="I29"/>
  <c r="I101" s="1"/>
  <c r="I102" s="1"/>
  <c r="I87"/>
  <c r="I55"/>
  <c r="I53"/>
  <c r="I86"/>
  <c r="U60"/>
  <c r="T60"/>
  <c r="U27"/>
  <c r="U28" s="1"/>
  <c r="T27"/>
  <c r="T105" s="1"/>
  <c r="U23"/>
  <c r="I68" l="1"/>
  <c r="I72"/>
  <c r="I73" s="1"/>
  <c r="I54"/>
  <c r="T40"/>
  <c r="T28"/>
  <c r="U105"/>
  <c r="U40"/>
  <c r="U42" s="1"/>
  <c r="U53" s="1"/>
  <c r="T15"/>
  <c r="U7"/>
  <c r="T4"/>
  <c r="E27" l="1"/>
  <c r="F27"/>
  <c r="O27"/>
  <c r="P37"/>
  <c r="O37"/>
  <c r="F37"/>
  <c r="T18"/>
  <c r="T19"/>
  <c r="T33"/>
  <c r="T31"/>
  <c r="T29" l="1"/>
  <c r="T30"/>
  <c r="F40"/>
  <c r="O34"/>
  <c r="O40"/>
  <c r="F34"/>
  <c r="O28"/>
  <c r="E25"/>
  <c r="G25" s="1"/>
  <c r="B41"/>
  <c r="E80"/>
  <c r="T39" l="1"/>
  <c r="T42"/>
  <c r="T53" s="1"/>
  <c r="T54" s="1"/>
  <c r="T63" s="1"/>
  <c r="T64" s="1"/>
  <c r="T55"/>
  <c r="T87"/>
  <c r="E81"/>
  <c r="AE43"/>
  <c r="W8"/>
  <c r="W9"/>
  <c r="W10"/>
  <c r="W11"/>
  <c r="W12"/>
  <c r="W13"/>
  <c r="W14"/>
  <c r="W7"/>
  <c r="W37"/>
  <c r="W34" s="1"/>
  <c r="W35"/>
  <c r="W57" l="1"/>
  <c r="W50"/>
  <c r="W49"/>
  <c r="W61"/>
  <c r="W60" l="1"/>
  <c r="W23"/>
  <c r="W105" s="1"/>
  <c r="O105"/>
  <c r="P27"/>
  <c r="P7"/>
  <c r="P28" l="1"/>
  <c r="P40"/>
  <c r="P42" s="1"/>
  <c r="P57"/>
  <c r="P50"/>
  <c r="P49"/>
  <c r="P34"/>
  <c r="P61"/>
  <c r="P60" l="1"/>
  <c r="P23"/>
  <c r="P105" s="1"/>
  <c r="O57" l="1"/>
  <c r="O50"/>
  <c r="O49"/>
  <c r="O61"/>
  <c r="O60" l="1"/>
  <c r="O15" l="1"/>
  <c r="O4"/>
  <c r="R18" l="1"/>
  <c r="R29" s="1"/>
  <c r="E49"/>
  <c r="C49" s="1"/>
  <c r="G26"/>
  <c r="G24"/>
  <c r="O18"/>
  <c r="O32"/>
  <c r="O33"/>
  <c r="O31"/>
  <c r="O19"/>
  <c r="O29" l="1"/>
  <c r="O30"/>
  <c r="O55" s="1"/>
  <c r="O87" l="1"/>
  <c r="O42"/>
  <c r="O53" s="1"/>
  <c r="O54" s="1"/>
  <c r="O63" s="1"/>
  <c r="O64" s="1"/>
  <c r="O39"/>
  <c r="G27"/>
  <c r="C14"/>
  <c r="C13"/>
  <c r="C10"/>
  <c r="C9"/>
  <c r="C12"/>
  <c r="F4"/>
  <c r="C7"/>
  <c r="C8"/>
  <c r="C11"/>
  <c r="F61"/>
  <c r="O80" l="1"/>
  <c r="O81" s="1"/>
  <c r="O86" s="1"/>
  <c r="F17"/>
  <c r="F60"/>
  <c r="F57"/>
  <c r="F50"/>
  <c r="F31"/>
  <c r="T32"/>
  <c r="F20"/>
  <c r="T80" l="1"/>
  <c r="T81" s="1"/>
  <c r="T86" s="1"/>
  <c r="F23"/>
  <c r="F15" l="1"/>
  <c r="E35" l="1"/>
  <c r="F35" l="1"/>
  <c r="C35"/>
  <c r="E37"/>
  <c r="E23"/>
  <c r="F33"/>
  <c r="F32"/>
  <c r="F19"/>
  <c r="B20" l="1"/>
  <c r="B22" s="1"/>
  <c r="F30"/>
  <c r="F29" s="1"/>
  <c r="F18"/>
  <c r="F28"/>
  <c r="F64"/>
  <c r="F65" s="1"/>
  <c r="E40"/>
  <c r="E34"/>
  <c r="E28"/>
  <c r="E4"/>
  <c r="E32"/>
  <c r="E31"/>
  <c r="E20"/>
  <c r="E33"/>
  <c r="E19"/>
  <c r="F39" l="1"/>
  <c r="C22"/>
  <c r="F42"/>
  <c r="F70" s="1"/>
  <c r="F66"/>
  <c r="F67" s="1"/>
  <c r="E82"/>
  <c r="E30"/>
  <c r="E29" s="1"/>
  <c r="F55"/>
  <c r="F87"/>
  <c r="F86"/>
  <c r="E15"/>
  <c r="E39" l="1"/>
  <c r="F53"/>
  <c r="F54" s="1"/>
  <c r="F71" s="1"/>
  <c r="F72" s="1"/>
  <c r="F73" s="1"/>
  <c r="E42"/>
  <c r="E61"/>
  <c r="E53" l="1"/>
  <c r="E70"/>
  <c r="E87"/>
  <c r="E64"/>
  <c r="E65" l="1"/>
  <c r="E66" s="1"/>
  <c r="E60"/>
  <c r="E86" l="1"/>
  <c r="E57"/>
  <c r="E67" s="1"/>
  <c r="E50"/>
  <c r="E55" l="1"/>
  <c r="E54" s="1"/>
  <c r="E71" s="1"/>
  <c r="E72" s="1"/>
  <c r="E73" s="1"/>
  <c r="C50"/>
  <c r="W15" l="1"/>
  <c r="P53"/>
  <c r="W4"/>
  <c r="P8" l="1"/>
  <c r="W31"/>
  <c r="W19"/>
  <c r="P4"/>
  <c r="W33"/>
  <c r="W32"/>
  <c r="W18"/>
  <c r="W30" l="1"/>
  <c r="W29"/>
  <c r="W80"/>
  <c r="W81" s="1"/>
  <c r="S18"/>
  <c r="S29" s="1"/>
  <c r="P15"/>
  <c r="P19"/>
  <c r="P18"/>
  <c r="P33"/>
  <c r="P31"/>
  <c r="P32"/>
  <c r="P80" l="1"/>
  <c r="P81" s="1"/>
  <c r="P30"/>
  <c r="P39" s="1"/>
  <c r="P29"/>
  <c r="W87"/>
  <c r="W39"/>
  <c r="W42"/>
  <c r="W53" s="1"/>
  <c r="W55"/>
  <c r="W86"/>
  <c r="U8"/>
  <c r="P82"/>
  <c r="U4"/>
  <c r="P87" l="1"/>
  <c r="P55"/>
  <c r="P54" s="1"/>
  <c r="P63" s="1"/>
  <c r="P64" s="1"/>
  <c r="P86"/>
  <c r="W54"/>
  <c r="W63" s="1"/>
  <c r="W64" s="1"/>
  <c r="U15"/>
  <c r="U33"/>
  <c r="U32"/>
  <c r="U19"/>
  <c r="U18"/>
  <c r="U31"/>
  <c r="U29" l="1"/>
  <c r="U80"/>
  <c r="U81" s="1"/>
  <c r="U30"/>
  <c r="U39" s="1"/>
  <c r="H53"/>
  <c r="H54" s="1"/>
  <c r="H72"/>
  <c r="H73" s="1"/>
  <c r="H76" s="1"/>
  <c r="U87" l="1"/>
  <c r="U86"/>
  <c r="U55"/>
  <c r="U54" s="1"/>
  <c r="U63" s="1"/>
  <c r="U64" s="1"/>
  <c r="L46" i="4"/>
  <c r="L60" s="1"/>
  <c r="L61" s="1"/>
  <c r="U82" i="1"/>
  <c r="L47" i="4" l="1"/>
  <c r="L48"/>
  <c r="L70" s="1"/>
  <c r="L86"/>
  <c r="H92"/>
  <c r="H91" l="1"/>
  <c r="H70"/>
  <c r="J70"/>
  <c r="D53"/>
  <c r="D59"/>
  <c r="D60" s="1"/>
  <c r="H60" s="1"/>
  <c r="D76"/>
  <c r="H76" s="1"/>
  <c r="H95" l="1"/>
  <c r="H59"/>
  <c r="D78"/>
  <c r="D95" s="1"/>
  <c r="L76"/>
  <c r="L78" s="1"/>
  <c r="L80" s="1"/>
  <c r="D96"/>
  <c r="J76"/>
  <c r="J78" s="1"/>
  <c r="J80" s="1"/>
  <c r="D62"/>
  <c r="D61" s="1"/>
  <c r="H51" l="1"/>
  <c r="H75" s="1"/>
  <c r="H78" s="1"/>
  <c r="H80" s="1"/>
  <c r="H82"/>
  <c r="H83"/>
  <c r="H62"/>
  <c r="H61" l="1"/>
  <c r="F130" i="6"/>
  <c r="F129"/>
  <c r="H61"/>
  <c r="H73" s="1"/>
  <c r="H99"/>
  <c r="H65" l="1"/>
  <c r="H69" s="1"/>
  <c r="H70" s="1"/>
  <c r="H74"/>
  <c r="H89" s="1"/>
  <c r="H96"/>
  <c r="H97" s="1"/>
  <c r="H106" l="1"/>
  <c r="H108" s="1"/>
  <c r="H103"/>
  <c r="H130" l="1"/>
  <c r="H129"/>
  <c r="H104"/>
  <c r="F85"/>
  <c r="F97" s="1"/>
  <c r="V83" l="1"/>
  <c r="V85" l="1"/>
  <c r="V84" s="1"/>
  <c r="V97"/>
  <c r="D56" i="8" l="1"/>
  <c r="D67" s="1"/>
  <c r="D69" s="1"/>
  <c r="D65" s="1"/>
  <c r="F56" l="1"/>
  <c r="F67" s="1"/>
  <c r="F69" s="1"/>
  <c r="D74" i="6" l="1"/>
  <c r="D89" s="1"/>
  <c r="D90" s="1"/>
  <c r="D92" l="1"/>
  <c r="N90"/>
  <c r="N92" s="1"/>
  <c r="N93" s="1"/>
  <c r="I90"/>
  <c r="I92" s="1"/>
  <c r="I93" s="1"/>
  <c r="L90"/>
  <c r="L92" s="1"/>
  <c r="L93" s="1"/>
  <c r="R90"/>
  <c r="R92" s="1"/>
  <c r="R93" s="1"/>
  <c r="Q90"/>
  <c r="Q92" s="1"/>
  <c r="Q93" s="1"/>
  <c r="F90"/>
  <c r="F92" s="1"/>
  <c r="F93" s="1"/>
  <c r="V89"/>
  <c r="V91" s="1"/>
  <c r="V92" s="1"/>
  <c r="H90"/>
  <c r="H92" s="1"/>
  <c r="H93" s="1"/>
  <c r="D143"/>
  <c r="O90"/>
  <c r="O92" s="1"/>
  <c r="O93" s="1"/>
  <c r="K90"/>
  <c r="K92" s="1"/>
  <c r="K93" s="1"/>
  <c r="D103"/>
  <c r="D104" s="1"/>
  <c r="D93" l="1"/>
  <c r="D142"/>
  <c r="D68" i="8"/>
  <c r="D70" s="1"/>
  <c r="D76"/>
  <c r="D80" s="1"/>
  <c r="D102"/>
  <c r="D99" l="1"/>
  <c r="F70"/>
  <c r="D72"/>
  <c r="D81"/>
  <c r="D87" s="1"/>
  <c r="D106" l="1"/>
  <c r="D107" s="1"/>
  <c r="D78"/>
  <c r="D98" s="1"/>
  <c r="D92"/>
  <c r="D93" s="1"/>
  <c r="D88"/>
  <c r="F87"/>
  <c r="F88" s="1"/>
  <c r="D109"/>
  <c r="D111" s="1"/>
  <c r="I93" l="1"/>
  <c r="D95"/>
  <c r="D146"/>
  <c r="D90"/>
  <c r="D100"/>
  <c r="F90" l="1"/>
  <c r="F93" s="1"/>
  <c r="I90"/>
  <c r="F65"/>
  <c r="D145"/>
  <c r="F78" l="1"/>
  <c r="F63"/>
  <c r="F64" s="1"/>
  <c r="F102"/>
  <c r="F99" l="1"/>
  <c r="F100" s="1"/>
  <c r="F68"/>
  <c r="F72" s="1"/>
  <c r="F76"/>
  <c r="F81" s="1"/>
  <c r="F80" s="1"/>
  <c r="F77" l="1"/>
  <c r="F73"/>
  <c r="F109"/>
  <c r="F111" s="1"/>
  <c r="F92" l="1"/>
  <c r="F95" s="1"/>
  <c r="F96" s="1"/>
  <c r="F59"/>
  <c r="F106"/>
  <c r="F132" s="1"/>
  <c r="F133" l="1"/>
  <c r="F107"/>
</calcChain>
</file>

<file path=xl/sharedStrings.xml><?xml version="1.0" encoding="utf-8"?>
<sst xmlns="http://schemas.openxmlformats.org/spreadsheetml/2006/main" count="1408" uniqueCount="224">
  <si>
    <t>A - S4</t>
  </si>
  <si>
    <t>Flow</t>
  </si>
  <si>
    <t>Mol Wgt</t>
  </si>
  <si>
    <t>Gamma</t>
  </si>
  <si>
    <t>Cp</t>
  </si>
  <si>
    <t>Pout / Pin</t>
  </si>
  <si>
    <t>T In</t>
  </si>
  <si>
    <t>P In</t>
  </si>
  <si>
    <t>P Out</t>
  </si>
  <si>
    <t xml:space="preserve">Isothermal Efficiency </t>
  </si>
  <si>
    <t>Overall Power</t>
  </si>
  <si>
    <t>Cust max Water Temp</t>
  </si>
  <si>
    <t>dT Water/Oil</t>
  </si>
  <si>
    <t>dT Water/He</t>
  </si>
  <si>
    <t>Tout before after cooler</t>
  </si>
  <si>
    <t>T out</t>
  </si>
  <si>
    <t>Water Delta T</t>
  </si>
  <si>
    <t>Needed Overall Water Flow (Mech Power/DT)</t>
  </si>
  <si>
    <t>Water to cool oil</t>
  </si>
  <si>
    <t>Water to cool Helium</t>
  </si>
  <si>
    <t>Tin Oil</t>
  </si>
  <si>
    <t>cp oil</t>
  </si>
  <si>
    <t>Density (kg/m3)</t>
  </si>
  <si>
    <t>Kynematic Viscosity (cSt =10-6 m2/s = 1 mm2/s</t>
  </si>
  <si>
    <t>Absolute Viscosity (Pa.s = 1 N s/m2 = 1 kg/m.s)</t>
  </si>
  <si>
    <t>Needed Oil flow</t>
  </si>
  <si>
    <t>T Out Adiab</t>
  </si>
  <si>
    <t>% Power</t>
  </si>
  <si>
    <t>Power T</t>
  </si>
  <si>
    <t>Power P</t>
  </si>
  <si>
    <t>Viscoity</t>
  </si>
  <si>
    <t>1 Pa.s = 1 N s/m2 = 1 kg/m.s</t>
  </si>
  <si>
    <t>The dynamic viscosity is also often expressed in the metric CGS (centimeter-gram-second) system as g/cm.s, dyne.s/cm2 or poise (p) where</t>
  </si>
  <si>
    <t>1 poise = 1 dyne s/cm2 = 1 g/cm.s = 1/10 Pa.s = 1/10 N.s/m2</t>
  </si>
  <si>
    <t>For practical use the Poise is to large and it's usual divided by 100 into the smaller unit called the centiPoise (cP) where</t>
  </si>
  <si>
    <t>1 cP = 0.01 poise = 0.01 gram per cm second = 0.001 Pascal second = 1 milliPascal second = 0.001 N.s/m2</t>
  </si>
  <si>
    <t>Kinematic Viscosity</t>
  </si>
  <si>
    <t>is the ratio of absolute or dynamic viscosity to density - a quantity in which no force is involved. Kinematic viscosity can be obtained by dividing the absolute viscosity of a fluid with it's mass density</t>
  </si>
  <si>
    <t xml:space="preserve">ν = μ / ρ </t>
  </si>
  <si>
    <t>ν = kinematic viscosity</t>
  </si>
  <si>
    <t>μ = absolute or dynamic viscosity</t>
  </si>
  <si>
    <t>ρ = density</t>
  </si>
  <si>
    <t>In the SI-system the theoretical unit is m2/s or commonly used Stoke (St) where</t>
  </si>
  <si>
    <t>1 St (Stokes) = 10-4 m2/s = 1 cm2/s</t>
  </si>
  <si>
    <t>1 cSt (centiStokes) = 10-6 m2/s = 1 mm2/s</t>
  </si>
  <si>
    <t>Conversion from absolute to kinematic viscosity can also be expressed as:</t>
  </si>
  <si>
    <t>ν = 6.7197 10-4 μ / γ</t>
  </si>
  <si>
    <t>Converge Water Température</t>
  </si>
  <si>
    <t>Components</t>
  </si>
  <si>
    <t>Mole Fractions</t>
  </si>
  <si>
    <t>nitrogen</t>
  </si>
  <si>
    <t>argon</t>
  </si>
  <si>
    <t>oxygen</t>
  </si>
  <si>
    <t>Total</t>
  </si>
  <si>
    <t>helium</t>
  </si>
  <si>
    <t>methane</t>
  </si>
  <si>
    <t>hydrogen</t>
  </si>
  <si>
    <t>carbon monoxide</t>
  </si>
  <si>
    <t>DESIGN</t>
  </si>
  <si>
    <t>4032SS</t>
  </si>
  <si>
    <t>Displacment</t>
  </si>
  <si>
    <t>Maxi</t>
  </si>
  <si>
    <t>kg/m3</t>
  </si>
  <si>
    <t>density normal</t>
  </si>
  <si>
    <t>air density</t>
  </si>
  <si>
    <t>g/mol</t>
  </si>
  <si>
    <t>air molar mass</t>
  </si>
  <si>
    <t xml:space="preserve">Efficiency </t>
  </si>
  <si>
    <t>Volumetric flow</t>
  </si>
  <si>
    <t>Motor efficiency</t>
  </si>
  <si>
    <t>n</t>
  </si>
  <si>
    <t>P3</t>
  </si>
  <si>
    <t>kW</t>
  </si>
  <si>
    <t>Power = Uicosphi</t>
  </si>
  <si>
    <t>DT extracted by oil cooler</t>
  </si>
  <si>
    <t>Power extracted by oil</t>
  </si>
  <si>
    <t>G=0.03Vth+10</t>
  </si>
  <si>
    <t>Vi</t>
  </si>
  <si>
    <t>Isothermal Power m.R.T.ln(P2/P1)</t>
  </si>
  <si>
    <t>Isothermal Power P.Qv.ln(P2/P1)</t>
  </si>
  <si>
    <t>,</t>
  </si>
  <si>
    <t>OFFER - MAXI
11/07/2003</t>
  </si>
  <si>
    <t>air</t>
  </si>
  <si>
    <t>OIL SPEC HT J/kg K 1950 2070</t>
  </si>
  <si>
    <t>OIL SPEC WT kg/m3 983 846</t>
  </si>
  <si>
    <t>P=m.cp.DT=Qv.rho.cP.DT</t>
  </si>
  <si>
    <t>LPG46</t>
  </si>
  <si>
    <t>RARUS</t>
  </si>
  <si>
    <t>densité</t>
  </si>
  <si>
    <t>F side</t>
  </si>
  <si>
    <t>Displacment 1</t>
  </si>
  <si>
    <t>Inj FLOW 1st</t>
  </si>
  <si>
    <t>TPTB FLOW 1st</t>
  </si>
  <si>
    <t>MAIN FLOW 1st</t>
  </si>
  <si>
    <t>SIDE FLOW 1st</t>
  </si>
  <si>
    <t>OIL FLOW 1st</t>
  </si>
  <si>
    <t>JOU flow</t>
  </si>
  <si>
    <t>Total Flow m3/h</t>
  </si>
  <si>
    <t>Oil</t>
  </si>
  <si>
    <t>Helium</t>
  </si>
  <si>
    <t>g/s</t>
  </si>
  <si>
    <t>L/min</t>
  </si>
  <si>
    <t>m3/h</t>
  </si>
  <si>
    <t>kg/h</t>
  </si>
  <si>
    <t xml:space="preserve">Total Flow gas </t>
  </si>
  <si>
    <t>Ratio oil/gas</t>
  </si>
  <si>
    <t>-</t>
  </si>
  <si>
    <t>Inj FLOW</t>
  </si>
  <si>
    <t>Jou FLOW</t>
  </si>
  <si>
    <t>F Side FLOW</t>
  </si>
  <si>
    <t>TPTB FLOW</t>
  </si>
  <si>
    <t>MAIN FLOW</t>
  </si>
  <si>
    <t>SIDE FLOW</t>
  </si>
  <si>
    <t>OIL FLOW</t>
  </si>
  <si>
    <t xml:space="preserve">Volumetric Efficiency </t>
  </si>
  <si>
    <t>Power adiabatique</t>
  </si>
  <si>
    <t>Power isotherm</t>
  </si>
  <si>
    <t>Adiabatique Power m.R.T.gamma/(gamma-1)*((P2/P1)^..</t>
  </si>
  <si>
    <t xml:space="preserve">Adiabatique Efficiency </t>
  </si>
  <si>
    <t>rho_inlet</t>
  </si>
  <si>
    <t>rho_outlet</t>
  </si>
  <si>
    <t>initial 2003</t>
  </si>
  <si>
    <t>Site</t>
  </si>
  <si>
    <t>Fluid</t>
  </si>
  <si>
    <t>Oil Flow</t>
  </si>
  <si>
    <t>Srew displacement</t>
  </si>
  <si>
    <t>rho_Nm3</t>
  </si>
  <si>
    <t>Site new oil</t>
  </si>
  <si>
    <t>Flow Nm3/h</t>
  </si>
  <si>
    <t>Flow kg/h</t>
  </si>
  <si>
    <t>Flow g/s</t>
  </si>
  <si>
    <t>Itensity</t>
  </si>
  <si>
    <t xml:space="preserve"> </t>
  </si>
  <si>
    <t>DTML</t>
  </si>
  <si>
    <t>Water supply temp.</t>
  </si>
  <si>
    <t>Power to be extracted by oil</t>
  </si>
  <si>
    <t>lambda</t>
  </si>
  <si>
    <t>P</t>
  </si>
  <si>
    <t>Site conditions</t>
  </si>
  <si>
    <t>Without cooler limit</t>
  </si>
  <si>
    <t>With cooler limit</t>
  </si>
  <si>
    <t xml:space="preserve">MARGE surface </t>
  </si>
  <si>
    <t>W</t>
  </si>
  <si>
    <t>W/m².K</t>
  </si>
  <si>
    <t>U</t>
  </si>
  <si>
    <t>A</t>
  </si>
  <si>
    <t>m²</t>
  </si>
  <si>
    <t>F : Factor for DTML calc.</t>
  </si>
  <si>
    <t xml:space="preserve">P=UA x DTML </t>
  </si>
  <si>
    <t>HX SIZE ??</t>
  </si>
  <si>
    <t xml:space="preserve">UA = UAref x (m/mref) </t>
  </si>
  <si>
    <t xml:space="preserve">Tin screw Oil (Oil Tout HX) </t>
  </si>
  <si>
    <t>Tout before after cooler (Tin Oil cooler)</t>
  </si>
  <si>
    <t>R</t>
  </si>
  <si>
    <t>HELIUM COOLER</t>
  </si>
  <si>
    <t>Water inlet</t>
  </si>
  <si>
    <t>Water outlet</t>
  </si>
  <si>
    <t>HELIUM AFTER COOLER</t>
  </si>
  <si>
    <t>OIL COOLER</t>
  </si>
  <si>
    <t>Oil inlet</t>
  </si>
  <si>
    <t>Power helium after cooler</t>
  </si>
  <si>
    <t>UA</t>
  </si>
  <si>
    <t>P=UA x DTML  x margins</t>
  </si>
  <si>
    <t>Water Flow</t>
  </si>
  <si>
    <t>Convergence</t>
  </si>
  <si>
    <t>Margins on surface</t>
  </si>
  <si>
    <t>Water TOTAL Delta T</t>
  </si>
  <si>
    <t xml:space="preserve">Power coolers </t>
  </si>
  <si>
    <t>Power to be extracted</t>
  </si>
  <si>
    <t>He inlet after cooler</t>
  </si>
  <si>
    <t>He outlet after cooler</t>
  </si>
  <si>
    <t>DTM = F x DTML</t>
  </si>
  <si>
    <t>F : Factor for DTM calc.</t>
  </si>
  <si>
    <t>Calculations based on site</t>
  </si>
  <si>
    <t>dT Tout / Water in</t>
  </si>
  <si>
    <t>With He cooler margin</t>
  </si>
  <si>
    <t>Without He cooler margin</t>
  </si>
  <si>
    <t>Vi = Vs/Vd</t>
  </si>
  <si>
    <t>Pi = Vi^k</t>
  </si>
  <si>
    <t>CR : Compression Ratio</t>
  </si>
  <si>
    <t>L</t>
  </si>
  <si>
    <t>M</t>
  </si>
  <si>
    <t>H</t>
  </si>
  <si>
    <t>Ideal Vi</t>
  </si>
  <si>
    <t>Choosen Vi = Vs/Vd</t>
  </si>
  <si>
    <t>Internal pressure ratio Pi = Vi ^ gamma</t>
  </si>
  <si>
    <t>Internal pressure / external pressure</t>
  </si>
  <si>
    <t>313K002A - 2005</t>
  </si>
  <si>
    <t>313K002A - 2007</t>
  </si>
  <si>
    <t>313K002B - 2005</t>
  </si>
  <si>
    <t>Oil mass Flow</t>
  </si>
  <si>
    <t>313K002A - 2008-02-04</t>
  </si>
  <si>
    <t>Oil outlet going through cooler</t>
  </si>
  <si>
    <t>313K002B - 2008-02-04</t>
  </si>
  <si>
    <t>Oil injected in screw (mix by-pass &amp; cooled)</t>
  </si>
  <si>
    <t>% oil flow by-passing cooler</t>
  </si>
  <si>
    <t>design</t>
  </si>
  <si>
    <t>air_design</t>
  </si>
  <si>
    <t>helium_design</t>
  </si>
  <si>
    <t>helium off-design air</t>
  </si>
  <si>
    <t>helium design</t>
  </si>
  <si>
    <t>dT Tout oil / Water in</t>
  </si>
  <si>
    <t>converge water flow as in serial</t>
  </si>
  <si>
    <t>dT water</t>
  </si>
  <si>
    <t>dT water inlet/outlet</t>
  </si>
  <si>
    <t>Power helium to be extracted by after cooler</t>
  </si>
  <si>
    <t>ammoniac</t>
  </si>
  <si>
    <t>ammonia</t>
  </si>
  <si>
    <t>RHEA - MYCOM-Technical-2009-09-30</t>
  </si>
  <si>
    <t>HE400LLUD-LB</t>
  </si>
  <si>
    <t>Kobelco - KS50LVS</t>
  </si>
  <si>
    <t>Kobelco - KS50LX</t>
  </si>
  <si>
    <t>2052 RPM</t>
  </si>
  <si>
    <t>1637 RPM</t>
  </si>
  <si>
    <t>see below</t>
  </si>
  <si>
    <t>KAESER</t>
  </si>
  <si>
    <t>Kaeser_sub atm</t>
  </si>
  <si>
    <t>Howden WLVi 321/220 22 on 100% Helium at 3550 rpm</t>
  </si>
  <si>
    <t>Oil flow</t>
  </si>
  <si>
    <t>Srew displacement @ 2950 RPM</t>
  </si>
  <si>
    <t>Screw speed</t>
  </si>
  <si>
    <t>KS50LX</t>
  </si>
  <si>
    <t>KS50LVS</t>
  </si>
  <si>
    <t>Ratio oil/gas in volume</t>
  </si>
</sst>
</file>

<file path=xl/styles.xml><?xml version="1.0" encoding="utf-8"?>
<styleSheet xmlns="http://schemas.openxmlformats.org/spreadsheetml/2006/main">
  <numFmts count="37">
    <numFmt numFmtId="43" formatCode="_-* #,##0.00\ _€_-;\-* #,##0.00\ _€_-;_-* &quot;-&quot;??\ _€_-;_-@_-"/>
    <numFmt numFmtId="164" formatCode="#,##0&quot; Hz&quot;"/>
    <numFmt numFmtId="165" formatCode="0.0\ &quot;g/s&quot;"/>
    <numFmt numFmtId="166" formatCode="#,##0\ &quot;m3/h&quot;"/>
    <numFmt numFmtId="167" formatCode="0.0\ &quot;&quot;"/>
    <numFmt numFmtId="168" formatCode="0\ &quot;°C&quot;"/>
    <numFmt numFmtId="169" formatCode="0.00\ &quot;Bara&quot;"/>
    <numFmt numFmtId="170" formatCode="0\ &quot;kW&quot;"/>
    <numFmt numFmtId="171" formatCode="0.0%"/>
    <numFmt numFmtId="172" formatCode="#,##0.0&quot; m3/h&quot;"/>
    <numFmt numFmtId="173" formatCode="#,##0.00&quot; j/g.K&quot;"/>
    <numFmt numFmtId="174" formatCode="0.0"/>
    <numFmt numFmtId="175" formatCode="0.0000"/>
    <numFmt numFmtId="176" formatCode="#,##0&quot; g/s&quot;"/>
    <numFmt numFmtId="177" formatCode="#,##0&quot; m3/h&quot;"/>
    <numFmt numFmtId="178" formatCode="0.00\ &quot;m3/h&quot;"/>
    <numFmt numFmtId="179" formatCode="0.000%"/>
    <numFmt numFmtId="180" formatCode="0.00\ &quot;kJ/kg.K&quot;"/>
    <numFmt numFmtId="181" formatCode="0.00\ &quot;g/mol&quot;"/>
    <numFmt numFmtId="182" formatCode="#,##0\ &quot;cfm&quot;"/>
    <numFmt numFmtId="183" formatCode="_-* #,##0\ _€_-;\-* #,##0\ _€_-;_-* &quot;-&quot;??\ _€_-;_-@_-"/>
    <numFmt numFmtId="184" formatCode="#,##0\ &quot;Nm3/h&quot;"/>
    <numFmt numFmtId="185" formatCode="0\ &quot;m3/h&quot;"/>
    <numFmt numFmtId="186" formatCode="#,##0&quot; L/min&quot;"/>
    <numFmt numFmtId="187" formatCode="General&quot; L/min&quot;"/>
    <numFmt numFmtId="188" formatCode="General&quot; m3/h&quot;"/>
    <numFmt numFmtId="189" formatCode="General&quot; kg/h&quot;"/>
    <numFmt numFmtId="190" formatCode="0.0\ &quot;°C&quot;"/>
    <numFmt numFmtId="191" formatCode="#,##0.00&quot; kg/h&quot;"/>
    <numFmt numFmtId="192" formatCode="0\ &quot;A&quot;"/>
    <numFmt numFmtId="193" formatCode="0.0\ &quot;A&quot;"/>
    <numFmt numFmtId="194" formatCode="0.000"/>
    <numFmt numFmtId="195" formatCode="0.0\ &quot;m3/h&quot;"/>
    <numFmt numFmtId="196" formatCode="0E+00"/>
    <numFmt numFmtId="197" formatCode="0.000E+00"/>
    <numFmt numFmtId="198" formatCode="#,##0&quot; kg/h&quot;"/>
    <numFmt numFmtId="199" formatCode="#,##0&quot; RPM&quot;"/>
  </numFmts>
  <fonts count="20"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12"/>
      <name val="Helv"/>
    </font>
    <font>
      <sz val="10"/>
      <name val="Helv"/>
    </font>
    <font>
      <b/>
      <sz val="10"/>
      <color indexed="12"/>
      <name val="Courier"/>
      <family val="3"/>
    </font>
    <font>
      <sz val="10"/>
      <name val="Courier"/>
      <family val="3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vertical="center"/>
    </xf>
    <xf numFmtId="167" fontId="6" fillId="3" borderId="1" xfId="0" applyNumberFormat="1" applyFont="1" applyFill="1" applyBorder="1"/>
    <xf numFmtId="168" fontId="5" fillId="3" borderId="1" xfId="0" applyNumberFormat="1" applyFont="1" applyFill="1" applyBorder="1"/>
    <xf numFmtId="169" fontId="5" fillId="3" borderId="1" xfId="0" applyNumberFormat="1" applyFont="1" applyFill="1" applyBorder="1"/>
    <xf numFmtId="170" fontId="5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168" fontId="1" fillId="3" borderId="1" xfId="0" applyNumberFormat="1" applyFont="1" applyFill="1" applyBorder="1"/>
    <xf numFmtId="172" fontId="0" fillId="3" borderId="1" xfId="0" applyNumberFormat="1" applyFill="1" applyBorder="1"/>
    <xf numFmtId="173" fontId="0" fillId="3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174" fontId="0" fillId="2" borderId="1" xfId="0" applyNumberFormat="1" applyFill="1" applyBorder="1"/>
    <xf numFmtId="175" fontId="0" fillId="2" borderId="1" xfId="0" applyNumberFormat="1" applyFill="1" applyBorder="1"/>
    <xf numFmtId="0" fontId="0" fillId="2" borderId="0" xfId="0" applyFill="1" applyAlignment="1">
      <alignment horizontal="left"/>
    </xf>
    <xf numFmtId="176" fontId="0" fillId="3" borderId="1" xfId="0" applyNumberFormat="1" applyFill="1" applyBorder="1"/>
    <xf numFmtId="177" fontId="0" fillId="3" borderId="1" xfId="0" applyNumberFormat="1" applyFill="1" applyBorder="1"/>
    <xf numFmtId="9" fontId="1" fillId="3" borderId="1" xfId="1" applyFill="1" applyBorder="1" applyAlignment="1">
      <alignment horizontal="center"/>
    </xf>
    <xf numFmtId="170" fontId="0" fillId="3" borderId="1" xfId="0" applyNumberFormat="1" applyFill="1" applyBorder="1"/>
    <xf numFmtId="0" fontId="7" fillId="2" borderId="0" xfId="0" applyFont="1" applyFill="1"/>
    <xf numFmtId="0" fontId="1" fillId="2" borderId="0" xfId="0" applyFont="1" applyFill="1" applyAlignment="1">
      <alignment horizontal="left" indent="2"/>
    </xf>
    <xf numFmtId="169" fontId="5" fillId="4" borderId="1" xfId="0" applyNumberFormat="1" applyFont="1" applyFill="1" applyBorder="1"/>
    <xf numFmtId="178" fontId="0" fillId="4" borderId="1" xfId="0" applyNumberFormat="1" applyFill="1" applyBorder="1"/>
    <xf numFmtId="0" fontId="0" fillId="5" borderId="0" xfId="0" applyFill="1"/>
    <xf numFmtId="170" fontId="0" fillId="3" borderId="1" xfId="0" applyNumberFormat="1" applyFont="1" applyFill="1" applyBorder="1" applyAlignment="1">
      <alignment horizontal="right"/>
    </xf>
    <xf numFmtId="0" fontId="8" fillId="0" borderId="0" xfId="0" applyNumberFormat="1" applyFont="1"/>
    <xf numFmtId="0" fontId="9" fillId="6" borderId="0" xfId="0" applyNumberFormat="1" applyFont="1" applyFill="1"/>
    <xf numFmtId="0" fontId="8" fillId="6" borderId="0" xfId="0" applyNumberFormat="1" applyFont="1" applyFill="1" applyAlignment="1">
      <alignment horizontal="right"/>
    </xf>
    <xf numFmtId="0" fontId="9" fillId="6" borderId="0" xfId="0" applyNumberFormat="1" applyFont="1" applyFill="1" applyAlignment="1">
      <alignment horizontal="right"/>
    </xf>
    <xf numFmtId="0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166" fontId="3" fillId="3" borderId="1" xfId="0" applyNumberFormat="1" applyFont="1" applyFill="1" applyBorder="1"/>
    <xf numFmtId="180" fontId="0" fillId="3" borderId="1" xfId="0" applyNumberFormat="1" applyFill="1" applyBorder="1"/>
    <xf numFmtId="2" fontId="0" fillId="3" borderId="1" xfId="0" applyNumberFormat="1" applyFill="1" applyBorder="1"/>
    <xf numFmtId="169" fontId="0" fillId="3" borderId="1" xfId="0" applyNumberFormat="1" applyFont="1" applyFill="1" applyBorder="1"/>
    <xf numFmtId="179" fontId="10" fillId="0" borderId="0" xfId="0" applyNumberFormat="1" applyFont="1" applyAlignment="1">
      <alignment horizontal="center"/>
    </xf>
    <xf numFmtId="181" fontId="0" fillId="3" borderId="1" xfId="0" applyNumberFormat="1" applyFill="1" applyBorder="1"/>
    <xf numFmtId="0" fontId="0" fillId="2" borderId="0" xfId="0" applyFill="1" applyAlignment="1">
      <alignment horizontal="right"/>
    </xf>
    <xf numFmtId="9" fontId="3" fillId="3" borderId="1" xfId="5" applyFont="1" applyFill="1" applyBorder="1"/>
    <xf numFmtId="171" fontId="3" fillId="3" borderId="1" xfId="5" applyNumberFormat="1" applyFont="1" applyFill="1" applyBorder="1"/>
    <xf numFmtId="166" fontId="0" fillId="3" borderId="1" xfId="0" applyNumberFormat="1" applyFont="1" applyFill="1" applyBorder="1"/>
    <xf numFmtId="165" fontId="12" fillId="3" borderId="1" xfId="0" applyNumberFormat="1" applyFont="1" applyFill="1" applyBorder="1"/>
    <xf numFmtId="0" fontId="4" fillId="4" borderId="0" xfId="0" applyFont="1" applyFill="1" applyAlignment="1">
      <alignment horizontal="center"/>
    </xf>
    <xf numFmtId="171" fontId="3" fillId="3" borderId="1" xfId="1" applyNumberFormat="1" applyFont="1" applyFill="1" applyBorder="1"/>
    <xf numFmtId="168" fontId="0" fillId="2" borderId="0" xfId="0" applyNumberFormat="1" applyFill="1"/>
    <xf numFmtId="43" fontId="0" fillId="2" borderId="0" xfId="4" applyFont="1" applyFill="1"/>
    <xf numFmtId="166" fontId="0" fillId="2" borderId="0" xfId="0" applyNumberFormat="1" applyFill="1"/>
    <xf numFmtId="182" fontId="3" fillId="3" borderId="1" xfId="0" applyNumberFormat="1" applyFont="1" applyFill="1" applyBorder="1"/>
    <xf numFmtId="183" fontId="0" fillId="2" borderId="0" xfId="4" applyNumberFormat="1" applyFont="1" applyFill="1"/>
    <xf numFmtId="183" fontId="0" fillId="2" borderId="0" xfId="4" applyNumberFormat="1" applyFont="1" applyFill="1" applyAlignment="1">
      <alignment horizontal="left"/>
    </xf>
    <xf numFmtId="184" fontId="0" fillId="3" borderId="1" xfId="0" applyNumberFormat="1" applyFont="1" applyFill="1" applyBorder="1"/>
    <xf numFmtId="0" fontId="13" fillId="5" borderId="0" xfId="0" applyFont="1" applyFill="1" applyAlignment="1">
      <alignment horizontal="center" vertical="center" wrapText="1"/>
    </xf>
    <xf numFmtId="177" fontId="0" fillId="3" borderId="0" xfId="0" applyNumberFormat="1" applyFill="1" applyBorder="1"/>
    <xf numFmtId="0" fontId="4" fillId="3" borderId="0" xfId="0" applyFont="1" applyFill="1" applyBorder="1" applyAlignment="1">
      <alignment vertical="center"/>
    </xf>
    <xf numFmtId="185" fontId="0" fillId="3" borderId="1" xfId="0" applyNumberFormat="1" applyFill="1" applyBorder="1"/>
    <xf numFmtId="186" fontId="0" fillId="3" borderId="1" xfId="0" applyNumberFormat="1" applyFill="1" applyBorder="1"/>
    <xf numFmtId="0" fontId="4" fillId="2" borderId="0" xfId="0" applyFont="1" applyFill="1" applyAlignment="1">
      <alignment horizontal="center"/>
    </xf>
    <xf numFmtId="171" fontId="0" fillId="2" borderId="0" xfId="5" applyNumberFormat="1" applyFont="1" applyFill="1"/>
    <xf numFmtId="171" fontId="1" fillId="3" borderId="1" xfId="1" applyNumberFormat="1" applyFont="1" applyFill="1" applyBorder="1"/>
    <xf numFmtId="0" fontId="14" fillId="0" borderId="0" xfId="0" applyFont="1"/>
    <xf numFmtId="0" fontId="4" fillId="2" borderId="0" xfId="0" applyFont="1" applyFill="1"/>
    <xf numFmtId="9" fontId="0" fillId="2" borderId="0" xfId="5" applyFont="1" applyFill="1"/>
    <xf numFmtId="187" fontId="0" fillId="2" borderId="0" xfId="0" applyNumberFormat="1" applyFill="1"/>
    <xf numFmtId="187" fontId="4" fillId="2" borderId="0" xfId="0" applyNumberFormat="1" applyFont="1" applyFill="1"/>
    <xf numFmtId="188" fontId="0" fillId="2" borderId="0" xfId="0" applyNumberFormat="1" applyFill="1"/>
    <xf numFmtId="189" fontId="0" fillId="2" borderId="0" xfId="0" applyNumberFormat="1" applyFill="1"/>
    <xf numFmtId="0" fontId="15" fillId="4" borderId="0" xfId="0" applyFont="1" applyFill="1"/>
    <xf numFmtId="43" fontId="12" fillId="3" borderId="1" xfId="4" applyFont="1" applyFill="1" applyBorder="1"/>
    <xf numFmtId="190" fontId="5" fillId="3" borderId="1" xfId="0" applyNumberFormat="1" applyFont="1" applyFill="1" applyBorder="1"/>
    <xf numFmtId="43" fontId="0" fillId="2" borderId="0" xfId="0" applyNumberFormat="1" applyFill="1"/>
    <xf numFmtId="0" fontId="0" fillId="0" borderId="1" xfId="0" applyBorder="1"/>
    <xf numFmtId="186" fontId="0" fillId="4" borderId="1" xfId="0" applyNumberFormat="1" applyFill="1" applyBorder="1"/>
    <xf numFmtId="190" fontId="5" fillId="5" borderId="1" xfId="0" applyNumberFormat="1" applyFont="1" applyFill="1" applyBorder="1"/>
    <xf numFmtId="186" fontId="4" fillId="5" borderId="0" xfId="0" applyNumberFormat="1" applyFont="1" applyFill="1" applyBorder="1" applyAlignment="1">
      <alignment vertical="center"/>
    </xf>
    <xf numFmtId="171" fontId="12" fillId="3" borderId="1" xfId="1" applyNumberFormat="1" applyFont="1" applyFill="1" applyBorder="1"/>
    <xf numFmtId="191" fontId="12" fillId="3" borderId="1" xfId="4" applyNumberFormat="1" applyFont="1" applyFill="1" applyBorder="1"/>
    <xf numFmtId="0" fontId="16" fillId="2" borderId="0" xfId="0" applyFont="1" applyFill="1"/>
    <xf numFmtId="173" fontId="16" fillId="3" borderId="1" xfId="0" applyNumberFormat="1" applyFont="1" applyFill="1" applyBorder="1"/>
    <xf numFmtId="168" fontId="0" fillId="3" borderId="1" xfId="0" applyNumberFormat="1" applyFont="1" applyFill="1" applyBorder="1"/>
    <xf numFmtId="0" fontId="0" fillId="2" borderId="0" xfId="0" applyFont="1" applyFill="1"/>
    <xf numFmtId="173" fontId="0" fillId="3" borderId="1" xfId="0" applyNumberFormat="1" applyFont="1" applyFill="1" applyBorder="1"/>
    <xf numFmtId="0" fontId="16" fillId="2" borderId="1" xfId="0" applyFont="1" applyFill="1" applyBorder="1"/>
    <xf numFmtId="174" fontId="4" fillId="2" borderId="1" xfId="0" applyNumberFormat="1" applyFont="1" applyFill="1" applyBorder="1"/>
    <xf numFmtId="192" fontId="0" fillId="3" borderId="1" xfId="0" applyNumberFormat="1" applyFont="1" applyFill="1" applyBorder="1" applyAlignment="1">
      <alignment horizontal="right"/>
    </xf>
    <xf numFmtId="192" fontId="3" fillId="3" borderId="1" xfId="0" applyNumberFormat="1" applyFont="1" applyFill="1" applyBorder="1" applyAlignment="1">
      <alignment horizontal="right"/>
    </xf>
    <xf numFmtId="193" fontId="3" fillId="3" borderId="1" xfId="0" applyNumberFormat="1" applyFont="1" applyFill="1" applyBorder="1" applyAlignment="1">
      <alignment horizontal="right"/>
    </xf>
    <xf numFmtId="170" fontId="7" fillId="3" borderId="1" xfId="0" applyNumberFormat="1" applyFont="1" applyFill="1" applyBorder="1"/>
    <xf numFmtId="194" fontId="0" fillId="2" borderId="1" xfId="0" applyNumberFormat="1" applyFill="1" applyBorder="1"/>
    <xf numFmtId="174" fontId="7" fillId="2" borderId="1" xfId="0" applyNumberFormat="1" applyFont="1" applyFill="1" applyBorder="1"/>
    <xf numFmtId="0" fontId="0" fillId="2" borderId="0" xfId="0" quotePrefix="1" applyFill="1"/>
    <xf numFmtId="177" fontId="7" fillId="3" borderId="1" xfId="0" applyNumberFormat="1" applyFont="1" applyFill="1" applyBorder="1"/>
    <xf numFmtId="170" fontId="0" fillId="2" borderId="0" xfId="0" applyNumberFormat="1" applyFill="1"/>
    <xf numFmtId="170" fontId="0" fillId="5" borderId="0" xfId="0" applyNumberFormat="1" applyFill="1"/>
    <xf numFmtId="174" fontId="0" fillId="2" borderId="0" xfId="0" applyNumberFormat="1" applyFill="1"/>
    <xf numFmtId="190" fontId="0" fillId="3" borderId="1" xfId="0" applyNumberFormat="1" applyFont="1" applyFill="1" applyBorder="1"/>
    <xf numFmtId="190" fontId="0" fillId="2" borderId="0" xfId="0" applyNumberFormat="1" applyFont="1" applyFill="1"/>
    <xf numFmtId="190" fontId="3" fillId="3" borderId="1" xfId="0" applyNumberFormat="1" applyFont="1" applyFill="1" applyBorder="1"/>
    <xf numFmtId="9" fontId="0" fillId="2" borderId="1" xfId="5" applyFont="1" applyFill="1" applyBorder="1"/>
    <xf numFmtId="0" fontId="12" fillId="3" borderId="1" xfId="0" applyFont="1" applyFill="1" applyBorder="1" applyAlignment="1">
      <alignment vertical="center"/>
    </xf>
    <xf numFmtId="0" fontId="12" fillId="2" borderId="0" xfId="0" applyFont="1" applyFill="1"/>
    <xf numFmtId="194" fontId="0" fillId="2" borderId="0" xfId="0" applyNumberFormat="1" applyFill="1"/>
    <xf numFmtId="0" fontId="7" fillId="2" borderId="0" xfId="0" applyFont="1" applyFill="1" applyAlignment="1">
      <alignment horizontal="center"/>
    </xf>
    <xf numFmtId="9" fontId="3" fillId="4" borderId="1" xfId="5" applyFont="1" applyFill="1" applyBorder="1"/>
    <xf numFmtId="168" fontId="5" fillId="3" borderId="1" xfId="0" quotePrefix="1" applyNumberFormat="1" applyFont="1" applyFill="1" applyBorder="1"/>
    <xf numFmtId="178" fontId="7" fillId="4" borderId="1" xfId="0" applyNumberFormat="1" applyFont="1" applyFill="1" applyBorder="1"/>
    <xf numFmtId="190" fontId="1" fillId="3" borderId="1" xfId="0" applyNumberFormat="1" applyFont="1" applyFill="1" applyBorder="1"/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195" fontId="5" fillId="3" borderId="1" xfId="0" applyNumberFormat="1" applyFont="1" applyFill="1" applyBorder="1"/>
    <xf numFmtId="195" fontId="7" fillId="3" borderId="1" xfId="0" applyNumberFormat="1" applyFont="1" applyFill="1" applyBorder="1"/>
    <xf numFmtId="195" fontId="0" fillId="3" borderId="1" xfId="0" applyNumberFormat="1" applyFont="1" applyFill="1" applyBorder="1"/>
    <xf numFmtId="190" fontId="5" fillId="3" borderId="1" xfId="0" quotePrefix="1" applyNumberFormat="1" applyFont="1" applyFill="1" applyBorder="1"/>
    <xf numFmtId="170" fontId="0" fillId="7" borderId="0" xfId="0" applyNumberFormat="1" applyFill="1"/>
    <xf numFmtId="9" fontId="17" fillId="9" borderId="1" xfId="5" applyFont="1" applyFill="1" applyBorder="1"/>
    <xf numFmtId="0" fontId="0" fillId="2" borderId="0" xfId="0" applyNumberFormat="1" applyFill="1"/>
    <xf numFmtId="0" fontId="3" fillId="5" borderId="1" xfId="0" applyNumberFormat="1" applyFont="1" applyFill="1" applyBorder="1"/>
    <xf numFmtId="0" fontId="0" fillId="2" borderId="0" xfId="0" applyNumberFormat="1" applyFont="1" applyFill="1"/>
    <xf numFmtId="196" fontId="3" fillId="5" borderId="1" xfId="0" applyNumberFormat="1" applyFont="1" applyFill="1" applyBorder="1"/>
    <xf numFmtId="196" fontId="0" fillId="2" borderId="0" xfId="0" applyNumberFormat="1" applyFont="1" applyFill="1"/>
    <xf numFmtId="196" fontId="0" fillId="8" borderId="0" xfId="0" applyNumberFormat="1" applyFill="1"/>
    <xf numFmtId="196" fontId="0" fillId="2" borderId="0" xfId="0" applyNumberFormat="1" applyFill="1"/>
    <xf numFmtId="190" fontId="5" fillId="5" borderId="1" xfId="0" quotePrefix="1" applyNumberFormat="1" applyFont="1" applyFill="1" applyBorder="1"/>
    <xf numFmtId="2" fontId="0" fillId="3" borderId="1" xfId="0" applyNumberFormat="1" applyFont="1" applyFill="1" applyBorder="1"/>
    <xf numFmtId="0" fontId="0" fillId="2" borderId="0" xfId="0" applyFill="1" applyAlignment="1">
      <alignment horizontal="righ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right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9" fontId="0" fillId="3" borderId="1" xfId="5" applyFont="1" applyFill="1" applyBorder="1" applyAlignment="1">
      <alignment horizontal="right"/>
    </xf>
    <xf numFmtId="197" fontId="3" fillId="5" borderId="1" xfId="0" applyNumberFormat="1" applyFont="1" applyFill="1" applyBorder="1"/>
    <xf numFmtId="190" fontId="4" fillId="5" borderId="1" xfId="0" quotePrefix="1" applyNumberFormat="1" applyFont="1" applyFill="1" applyBorder="1"/>
    <xf numFmtId="0" fontId="0" fillId="5" borderId="1" xfId="0" applyNumberFormat="1" applyFill="1" applyBorder="1"/>
    <xf numFmtId="196" fontId="0" fillId="8" borderId="1" xfId="0" applyNumberFormat="1" applyFill="1" applyBorder="1"/>
    <xf numFmtId="198" fontId="0" fillId="3" borderId="1" xfId="0" applyNumberFormat="1" applyFill="1" applyBorder="1"/>
    <xf numFmtId="190" fontId="5" fillId="2" borderId="1" xfId="0" applyNumberFormat="1" applyFont="1" applyFill="1" applyBorder="1"/>
    <xf numFmtId="9" fontId="0" fillId="8" borderId="1" xfId="5" applyFont="1" applyFill="1" applyBorder="1"/>
    <xf numFmtId="0" fontId="8" fillId="0" borderId="1" xfId="0" applyNumberFormat="1" applyFont="1" applyBorder="1"/>
    <xf numFmtId="190" fontId="19" fillId="3" borderId="1" xfId="0" applyNumberFormat="1" applyFont="1" applyFill="1" applyBorder="1"/>
    <xf numFmtId="170" fontId="3" fillId="5" borderId="1" xfId="0" applyNumberFormat="1" applyFont="1" applyFill="1" applyBorder="1"/>
    <xf numFmtId="190" fontId="18" fillId="3" borderId="1" xfId="0" quotePrefix="1" applyNumberFormat="1" applyFont="1" applyFill="1" applyBorder="1"/>
    <xf numFmtId="0" fontId="0" fillId="8" borderId="1" xfId="0" applyNumberFormat="1" applyFill="1" applyBorder="1"/>
    <xf numFmtId="190" fontId="5" fillId="8" borderId="1" xfId="0" applyNumberFormat="1" applyFont="1" applyFill="1" applyBorder="1"/>
    <xf numFmtId="195" fontId="19" fillId="3" borderId="1" xfId="0" applyNumberFormat="1" applyFont="1" applyFill="1" applyBorder="1"/>
    <xf numFmtId="174" fontId="0" fillId="7" borderId="0" xfId="0" applyNumberFormat="1" applyFill="1"/>
    <xf numFmtId="190" fontId="5" fillId="7" borderId="1" xfId="0" applyNumberFormat="1" applyFont="1" applyFill="1" applyBorder="1"/>
    <xf numFmtId="186" fontId="0" fillId="2" borderId="1" xfId="0" applyNumberFormat="1" applyFill="1" applyBorder="1"/>
    <xf numFmtId="190" fontId="12" fillId="3" borderId="1" xfId="0" quotePrefix="1" applyNumberFormat="1" applyFont="1" applyFill="1" applyBorder="1"/>
    <xf numFmtId="0" fontId="12" fillId="2" borderId="0" xfId="0" applyFont="1" applyFill="1" applyAlignment="1">
      <alignment horizontal="center"/>
    </xf>
    <xf numFmtId="2" fontId="3" fillId="3" borderId="1" xfId="0" applyNumberFormat="1" applyFont="1" applyFill="1" applyBorder="1"/>
    <xf numFmtId="0" fontId="4" fillId="4" borderId="0" xfId="0" applyFont="1" applyFill="1" applyAlignment="1">
      <alignment horizontal="center" wrapText="1"/>
    </xf>
    <xf numFmtId="10" fontId="3" fillId="3" borderId="1" xfId="5" applyNumberFormat="1" applyFont="1" applyFill="1" applyBorder="1"/>
    <xf numFmtId="170" fontId="3" fillId="3" borderId="1" xfId="0" applyNumberFormat="1" applyFont="1" applyFill="1" applyBorder="1" applyAlignment="1">
      <alignment horizontal="right"/>
    </xf>
    <xf numFmtId="174" fontId="0" fillId="7" borderId="1" xfId="0" applyNumberFormat="1" applyFill="1" applyBorder="1"/>
    <xf numFmtId="199" fontId="3" fillId="3" borderId="1" xfId="5" applyNumberFormat="1" applyFont="1" applyFill="1" applyBorder="1"/>
    <xf numFmtId="0" fontId="0" fillId="4" borderId="0" xfId="0" applyFill="1"/>
  </cellXfs>
  <cellStyles count="6">
    <cellStyle name="Comma" xfId="4" builtinId="3"/>
    <cellStyle name="Normal" xfId="0" builtinId="0"/>
    <cellStyle name="Normal 2" xfId="2"/>
    <cellStyle name="Percent" xfId="5" builtinId="5"/>
    <cellStyle name="Percent 2" xfId="1"/>
    <cellStyle name="Pourcentage 2" xfId="3"/>
  </cellStyles>
  <dxfs count="0"/>
  <tableStyles count="0" defaultTableStyle="TableStyleMedium9" defaultPivotStyle="PivotStyleLight16"/>
  <colors>
    <mruColors>
      <color rgb="FF0000FF"/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emf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3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124</xdr:row>
      <xdr:rowOff>17319</xdr:rowOff>
    </xdr:from>
    <xdr:to>
      <xdr:col>18</xdr:col>
      <xdr:colOff>164422</xdr:colOff>
      <xdr:row>158</xdr:row>
      <xdr:rowOff>4329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48875" y="18476769"/>
          <a:ext cx="7860622" cy="5521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1019735</xdr:colOff>
      <xdr:row>160</xdr:row>
      <xdr:rowOff>33618</xdr:rowOff>
    </xdr:from>
    <xdr:to>
      <xdr:col>5</xdr:col>
      <xdr:colOff>1400175</xdr:colOff>
      <xdr:row>185</xdr:row>
      <xdr:rowOff>90768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9335" y="24350943"/>
          <a:ext cx="6619315" cy="41052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1243853</xdr:colOff>
      <xdr:row>160</xdr:row>
      <xdr:rowOff>-1</xdr:rowOff>
    </xdr:from>
    <xdr:to>
      <xdr:col>13</xdr:col>
      <xdr:colOff>12887</xdr:colOff>
      <xdr:row>185</xdr:row>
      <xdr:rowOff>57150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2328" y="24317324"/>
          <a:ext cx="6617634" cy="4105276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124</xdr:row>
      <xdr:rowOff>17319</xdr:rowOff>
    </xdr:from>
    <xdr:to>
      <xdr:col>18</xdr:col>
      <xdr:colOff>164422</xdr:colOff>
      <xdr:row>158</xdr:row>
      <xdr:rowOff>4330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48875" y="18800619"/>
          <a:ext cx="7860622" cy="55210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1019735</xdr:colOff>
      <xdr:row>160</xdr:row>
      <xdr:rowOff>33618</xdr:rowOff>
    </xdr:from>
    <xdr:to>
      <xdr:col>5</xdr:col>
      <xdr:colOff>1400175</xdr:colOff>
      <xdr:row>185</xdr:row>
      <xdr:rowOff>90768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9335" y="24674793"/>
          <a:ext cx="6619315" cy="41052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1243853</xdr:colOff>
      <xdr:row>160</xdr:row>
      <xdr:rowOff>-1</xdr:rowOff>
    </xdr:from>
    <xdr:to>
      <xdr:col>13</xdr:col>
      <xdr:colOff>12887</xdr:colOff>
      <xdr:row>185</xdr:row>
      <xdr:rowOff>57150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2328" y="24641174"/>
          <a:ext cx="6617634" cy="4105276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124</xdr:row>
      <xdr:rowOff>17319</xdr:rowOff>
    </xdr:from>
    <xdr:to>
      <xdr:col>16</xdr:col>
      <xdr:colOff>164422</xdr:colOff>
      <xdr:row>158</xdr:row>
      <xdr:rowOff>4329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48875" y="18800619"/>
          <a:ext cx="7860622" cy="55210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1019735</xdr:colOff>
      <xdr:row>160</xdr:row>
      <xdr:rowOff>33618</xdr:rowOff>
    </xdr:from>
    <xdr:to>
      <xdr:col>5</xdr:col>
      <xdr:colOff>1400175</xdr:colOff>
      <xdr:row>185</xdr:row>
      <xdr:rowOff>90769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9335" y="24674793"/>
          <a:ext cx="6619315" cy="41052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160</xdr:row>
      <xdr:rowOff>-1</xdr:rowOff>
    </xdr:from>
    <xdr:to>
      <xdr:col>14</xdr:col>
      <xdr:colOff>158564</xdr:colOff>
      <xdr:row>185</xdr:row>
      <xdr:rowOff>57151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2328" y="24641174"/>
          <a:ext cx="6617634" cy="410527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498461</xdr:colOff>
      <xdr:row>31</xdr:row>
      <xdr:rowOff>85601</xdr:rowOff>
    </xdr:from>
    <xdr:to>
      <xdr:col>26</xdr:col>
      <xdr:colOff>584541</xdr:colOff>
      <xdr:row>70</xdr:row>
      <xdr:rowOff>127586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50825" y="3358737"/>
          <a:ext cx="10390398" cy="6120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387113</xdr:colOff>
      <xdr:row>72</xdr:row>
      <xdr:rowOff>34637</xdr:rowOff>
    </xdr:from>
    <xdr:to>
      <xdr:col>27</xdr:col>
      <xdr:colOff>245359</xdr:colOff>
      <xdr:row>111</xdr:row>
      <xdr:rowOff>53687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245613" y="9698182"/>
          <a:ext cx="10162564" cy="60977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33618</xdr:colOff>
      <xdr:row>86</xdr:row>
      <xdr:rowOff>134470</xdr:rowOff>
    </xdr:from>
    <xdr:to>
      <xdr:col>38</xdr:col>
      <xdr:colOff>40901</xdr:colOff>
      <xdr:row>115</xdr:row>
      <xdr:rowOff>147358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51089" y="10970558"/>
          <a:ext cx="4848224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358589</xdr:colOff>
      <xdr:row>84</xdr:row>
      <xdr:rowOff>145677</xdr:rowOff>
    </xdr:from>
    <xdr:to>
      <xdr:col>29</xdr:col>
      <xdr:colOff>496422</xdr:colOff>
      <xdr:row>96</xdr:row>
      <xdr:rowOff>55471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50471" y="10668001"/>
          <a:ext cx="2558303" cy="17923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565897</xdr:colOff>
      <xdr:row>15</xdr:row>
      <xdr:rowOff>137671</xdr:rowOff>
    </xdr:from>
    <xdr:to>
      <xdr:col>27</xdr:col>
      <xdr:colOff>486334</xdr:colOff>
      <xdr:row>69</xdr:row>
      <xdr:rowOff>10002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536279" y="2715024"/>
          <a:ext cx="6789643" cy="8366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1536206</xdr:colOff>
      <xdr:row>109</xdr:row>
      <xdr:rowOff>109060</xdr:rowOff>
    </xdr:from>
    <xdr:to>
      <xdr:col>8</xdr:col>
      <xdr:colOff>665148</xdr:colOff>
      <xdr:row>113</xdr:row>
      <xdr:rowOff>83206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876059" y="17455766"/>
          <a:ext cx="3353560" cy="6016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180295</xdr:colOff>
      <xdr:row>111</xdr:row>
      <xdr:rowOff>30618</xdr:rowOff>
    </xdr:from>
    <xdr:to>
      <xdr:col>11</xdr:col>
      <xdr:colOff>911678</xdr:colOff>
      <xdr:row>115</xdr:row>
      <xdr:rowOff>4764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044148" y="17377324"/>
          <a:ext cx="3353559" cy="6016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7</xdr:col>
      <xdr:colOff>942975</xdr:colOff>
      <xdr:row>196</xdr:row>
      <xdr:rowOff>47626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05075" y="25098375"/>
          <a:ext cx="8324850" cy="6877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180295</xdr:colOff>
      <xdr:row>110</xdr:row>
      <xdr:rowOff>30618</xdr:rowOff>
    </xdr:from>
    <xdr:to>
      <xdr:col>3</xdr:col>
      <xdr:colOff>0</xdr:colOff>
      <xdr:row>114</xdr:row>
      <xdr:rowOff>4764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124270" y="18080493"/>
          <a:ext cx="3350758" cy="621846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110</xdr:row>
      <xdr:rowOff>30618</xdr:rowOff>
    </xdr:from>
    <xdr:to>
      <xdr:col>4</xdr:col>
      <xdr:colOff>911678</xdr:colOff>
      <xdr:row>114</xdr:row>
      <xdr:rowOff>4764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124270" y="18080493"/>
          <a:ext cx="3350758" cy="62184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153</xdr:row>
      <xdr:rowOff>0</xdr:rowOff>
    </xdr:from>
    <xdr:to>
      <xdr:col>3</xdr:col>
      <xdr:colOff>876300</xdr:colOff>
      <xdr:row>195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1275" y="25012650"/>
          <a:ext cx="8324850" cy="6877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495300</xdr:colOff>
      <xdr:row>12</xdr:row>
      <xdr:rowOff>9525</xdr:rowOff>
    </xdr:from>
    <xdr:to>
      <xdr:col>15</xdr:col>
      <xdr:colOff>57150</xdr:colOff>
      <xdr:row>37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72475" y="1952625"/>
          <a:ext cx="5048250" cy="4191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18</xdr:row>
      <xdr:rowOff>57150</xdr:rowOff>
    </xdr:from>
    <xdr:to>
      <xdr:col>16</xdr:col>
      <xdr:colOff>129673</xdr:colOff>
      <xdr:row>45</xdr:row>
      <xdr:rowOff>17650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72650" y="2971800"/>
          <a:ext cx="5320798" cy="433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525237</xdr:colOff>
      <xdr:row>8</xdr:row>
      <xdr:rowOff>25854</xdr:rowOff>
    </xdr:from>
    <xdr:to>
      <xdr:col>24</xdr:col>
      <xdr:colOff>84365</xdr:colOff>
      <xdr:row>34</xdr:row>
      <xdr:rowOff>6804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1808" y="1332140"/>
          <a:ext cx="5070021" cy="42263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28576</xdr:colOff>
      <xdr:row>36</xdr:row>
      <xdr:rowOff>88445</xdr:rowOff>
    </xdr:from>
    <xdr:to>
      <xdr:col>23</xdr:col>
      <xdr:colOff>559253</xdr:colOff>
      <xdr:row>71</xdr:row>
      <xdr:rowOff>124445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53776" y="5917745"/>
          <a:ext cx="6017077" cy="570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571499</xdr:colOff>
      <xdr:row>74</xdr:row>
      <xdr:rowOff>17319</xdr:rowOff>
    </xdr:from>
    <xdr:to>
      <xdr:col>25</xdr:col>
      <xdr:colOff>523009</xdr:colOff>
      <xdr:row>108</xdr:row>
      <xdr:rowOff>4330</xdr:rowOff>
    </xdr:to>
    <xdr:pic>
      <xdr:nvPicPr>
        <xdr:cNvPr id="2086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93681" y="11239501"/>
          <a:ext cx="7831282" cy="53210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258536</xdr:colOff>
      <xdr:row>73</xdr:row>
      <xdr:rowOff>68036</xdr:rowOff>
    </xdr:from>
    <xdr:to>
      <xdr:col>15</xdr:col>
      <xdr:colOff>258536</xdr:colOff>
      <xdr:row>98</xdr:row>
      <xdr:rowOff>68035</xdr:rowOff>
    </xdr:to>
    <xdr:cxnSp macro="">
      <xdr:nvCxnSpPr>
        <xdr:cNvPr id="9" name="Straight Connector 8"/>
        <xdr:cNvCxnSpPr/>
      </xdr:nvCxnSpPr>
      <xdr:spPr>
        <a:xfrm flipV="1">
          <a:off x="15131143" y="11661322"/>
          <a:ext cx="0" cy="408214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190500</xdr:colOff>
      <xdr:row>81</xdr:row>
      <xdr:rowOff>95249</xdr:rowOff>
    </xdr:from>
    <xdr:to>
      <xdr:col>25</xdr:col>
      <xdr:colOff>408213</xdr:colOff>
      <xdr:row>81</xdr:row>
      <xdr:rowOff>95249</xdr:rowOff>
    </xdr:to>
    <xdr:cxnSp macro="">
      <xdr:nvCxnSpPr>
        <xdr:cNvPr id="13" name="Straight Connector 12"/>
        <xdr:cNvCxnSpPr/>
      </xdr:nvCxnSpPr>
      <xdr:spPr>
        <a:xfrm>
          <a:off x="12042321" y="12831535"/>
          <a:ext cx="7565571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525237</xdr:colOff>
      <xdr:row>8</xdr:row>
      <xdr:rowOff>25854</xdr:rowOff>
    </xdr:from>
    <xdr:to>
      <xdr:col>34</xdr:col>
      <xdr:colOff>84365</xdr:colOff>
      <xdr:row>44</xdr:row>
      <xdr:rowOff>6804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5187" y="1321254"/>
          <a:ext cx="5045528" cy="4191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571499</xdr:colOff>
      <xdr:row>121</xdr:row>
      <xdr:rowOff>17319</xdr:rowOff>
    </xdr:from>
    <xdr:to>
      <xdr:col>35</xdr:col>
      <xdr:colOff>523010</xdr:colOff>
      <xdr:row>155</xdr:row>
      <xdr:rowOff>4329</xdr:rowOff>
    </xdr:to>
    <xdr:pic>
      <xdr:nvPicPr>
        <xdr:cNvPr id="4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582649" y="11999769"/>
          <a:ext cx="7876310" cy="55210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25</xdr:col>
      <xdr:colOff>258536</xdr:colOff>
      <xdr:row>120</xdr:row>
      <xdr:rowOff>68036</xdr:rowOff>
    </xdr:from>
    <xdr:to>
      <xdr:col>25</xdr:col>
      <xdr:colOff>258536</xdr:colOff>
      <xdr:row>145</xdr:row>
      <xdr:rowOff>68035</xdr:rowOff>
    </xdr:to>
    <xdr:cxnSp macro="">
      <xdr:nvCxnSpPr>
        <xdr:cNvPr id="5" name="Straight Connector 4"/>
        <xdr:cNvCxnSpPr/>
      </xdr:nvCxnSpPr>
      <xdr:spPr>
        <a:xfrm flipV="1">
          <a:off x="15098486" y="11888561"/>
          <a:ext cx="0" cy="404812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190500</xdr:colOff>
      <xdr:row>128</xdr:row>
      <xdr:rowOff>95249</xdr:rowOff>
    </xdr:from>
    <xdr:to>
      <xdr:col>35</xdr:col>
      <xdr:colOff>408213</xdr:colOff>
      <xdr:row>128</xdr:row>
      <xdr:rowOff>95249</xdr:rowOff>
    </xdr:to>
    <xdr:cxnSp macro="">
      <xdr:nvCxnSpPr>
        <xdr:cNvPr id="6" name="Straight Connector 5"/>
        <xdr:cNvCxnSpPr/>
      </xdr:nvCxnSpPr>
      <xdr:spPr>
        <a:xfrm>
          <a:off x="13811250" y="13211174"/>
          <a:ext cx="7532913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598714</xdr:colOff>
      <xdr:row>38</xdr:row>
      <xdr:rowOff>68036</xdr:rowOff>
    </xdr:from>
    <xdr:to>
      <xdr:col>42</xdr:col>
      <xdr:colOff>176903</xdr:colOff>
      <xdr:row>70</xdr:row>
      <xdr:rowOff>68036</xdr:rowOff>
    </xdr:to>
    <xdr:grpSp>
      <xdr:nvGrpSpPr>
        <xdr:cNvPr id="10" name="Group 9"/>
        <xdr:cNvGrpSpPr/>
      </xdr:nvGrpSpPr>
      <xdr:grpSpPr>
        <a:xfrm>
          <a:off x="27089420" y="4460742"/>
          <a:ext cx="11680542" cy="5020235"/>
          <a:chOff x="13634358" y="6272893"/>
          <a:chExt cx="6572060" cy="2450340"/>
        </a:xfrm>
      </xdr:grpSpPr>
      <xdr:pic>
        <xdr:nvPicPr>
          <xdr:cNvPr id="7" name="Picture 6"/>
          <xdr:cNvPicPr/>
        </xdr:nvPicPr>
        <xdr:blipFill>
          <a:blip xmlns:r="http://schemas.openxmlformats.org/officeDocument/2006/relationships" r:embed="rId3" cstate="print"/>
          <a:srcRect l="5571" r="59913"/>
          <a:stretch>
            <a:fillRect/>
          </a:stretch>
        </xdr:blipFill>
        <xdr:spPr bwMode="auto">
          <a:xfrm>
            <a:off x="18941144" y="6272893"/>
            <a:ext cx="1265274" cy="24454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Picture 7"/>
          <xdr:cNvPicPr/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16192500" y="6272893"/>
            <a:ext cx="2756122" cy="24503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" name="Picture 8"/>
          <xdr:cNvPicPr/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13634358" y="6272893"/>
            <a:ext cx="2572795" cy="24490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124</xdr:row>
      <xdr:rowOff>17319</xdr:rowOff>
    </xdr:from>
    <xdr:to>
      <xdr:col>19</xdr:col>
      <xdr:colOff>164422</xdr:colOff>
      <xdr:row>158</xdr:row>
      <xdr:rowOff>4329</xdr:rowOff>
    </xdr:to>
    <xdr:pic>
      <xdr:nvPicPr>
        <xdr:cNvPr id="3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41474" y="17990994"/>
          <a:ext cx="7876311" cy="5521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124</xdr:row>
      <xdr:rowOff>17319</xdr:rowOff>
    </xdr:from>
    <xdr:to>
      <xdr:col>18</xdr:col>
      <xdr:colOff>164422</xdr:colOff>
      <xdr:row>158</xdr:row>
      <xdr:rowOff>4330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67950" y="18476769"/>
          <a:ext cx="7860622" cy="5521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1019735</xdr:colOff>
      <xdr:row>160</xdr:row>
      <xdr:rowOff>33618</xdr:rowOff>
    </xdr:from>
    <xdr:to>
      <xdr:col>5</xdr:col>
      <xdr:colOff>1400175</xdr:colOff>
      <xdr:row>185</xdr:row>
      <xdr:rowOff>90768</xdr:rowOff>
    </xdr:to>
    <xdr:pic>
      <xdr:nvPicPr>
        <xdr:cNvPr id="614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4853" y="23599589"/>
          <a:ext cx="6622116" cy="397920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1243853</xdr:colOff>
      <xdr:row>160</xdr:row>
      <xdr:rowOff>-1</xdr:rowOff>
    </xdr:from>
    <xdr:to>
      <xdr:col>13</xdr:col>
      <xdr:colOff>12887</xdr:colOff>
      <xdr:row>185</xdr:row>
      <xdr:rowOff>57150</xdr:rowOff>
    </xdr:to>
    <xdr:pic>
      <xdr:nvPicPr>
        <xdr:cNvPr id="614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0647" y="23565970"/>
          <a:ext cx="6601946" cy="397920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124</xdr:row>
      <xdr:rowOff>17319</xdr:rowOff>
    </xdr:from>
    <xdr:to>
      <xdr:col>18</xdr:col>
      <xdr:colOff>164422</xdr:colOff>
      <xdr:row>158</xdr:row>
      <xdr:rowOff>4329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48875" y="18476769"/>
          <a:ext cx="7860622" cy="5521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1019735</xdr:colOff>
      <xdr:row>160</xdr:row>
      <xdr:rowOff>33618</xdr:rowOff>
    </xdr:from>
    <xdr:to>
      <xdr:col>5</xdr:col>
      <xdr:colOff>1400175</xdr:colOff>
      <xdr:row>185</xdr:row>
      <xdr:rowOff>90768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9335" y="24350943"/>
          <a:ext cx="6619315" cy="41052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1243853</xdr:colOff>
      <xdr:row>160</xdr:row>
      <xdr:rowOff>-1</xdr:rowOff>
    </xdr:from>
    <xdr:to>
      <xdr:col>13</xdr:col>
      <xdr:colOff>12887</xdr:colOff>
      <xdr:row>185</xdr:row>
      <xdr:rowOff>57150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2328" y="24317324"/>
          <a:ext cx="6617634" cy="410527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ent.heloin/Documents/Training/aaa/REFPROP9.1/REFPROP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ncent.heloin/Desktop/Shortcuts/macro_vh_97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definedNames>
      <definedName name="density"/>
      <definedName name="enthalpy"/>
      <definedName name="FluidString"/>
      <definedName name="Isentropicexpansioncoef"/>
      <definedName name="IsobaricHeatCapacity"/>
      <definedName name="IsochoricHeatCapacity"/>
      <definedName name="MolarMass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mu_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oleObject" Target="../embeddings/oleObject4.bin"/><Relationship Id="rId4" Type="http://schemas.openxmlformats.org/officeDocument/2006/relationships/oleObject" Target="../embeddings/oleObject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oleObject" Target="../embeddings/oleObject6.bin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6"/>
  <sheetViews>
    <sheetView topLeftCell="A70" zoomScale="115" zoomScaleNormal="115" workbookViewId="0">
      <selection activeCell="G70" sqref="F1:G1048576"/>
    </sheetView>
  </sheetViews>
  <sheetFormatPr defaultRowHeight="12.75" outlineLevelRow="1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2.85546875" style="1" customWidth="1"/>
    <col min="6" max="7" width="24" style="1" customWidth="1"/>
    <col min="8" max="8" width="9.140625" style="1"/>
    <col min="9" max="9" width="24" style="1" customWidth="1"/>
    <col min="10" max="16384" width="9.140625" style="1"/>
  </cols>
  <sheetData>
    <row r="1" spans="1:9">
      <c r="C1" s="133" t="s">
        <v>177</v>
      </c>
    </row>
    <row r="2" spans="1:9">
      <c r="A2" s="43" t="s">
        <v>66</v>
      </c>
      <c r="B2" s="20">
        <f>[1]!MolarMass("air")</f>
        <v>28.958600656000002</v>
      </c>
      <c r="C2" s="133" t="s">
        <v>178</v>
      </c>
    </row>
    <row r="3" spans="1:9">
      <c r="A3" s="43"/>
      <c r="B3" s="20"/>
      <c r="C3" s="131" t="s">
        <v>180</v>
      </c>
      <c r="D3" s="132">
        <v>2.63</v>
      </c>
      <c r="F3" s="132"/>
      <c r="G3" s="132"/>
      <c r="I3" s="132">
        <v>2.63</v>
      </c>
    </row>
    <row r="4" spans="1:9">
      <c r="A4" s="43" t="s">
        <v>64</v>
      </c>
      <c r="B4" s="20">
        <f>[1]!density("air","TP","SI with C",0,1/10)</f>
        <v>1.2758162153163073</v>
      </c>
      <c r="C4" s="134" t="s">
        <v>181</v>
      </c>
      <c r="D4" s="135">
        <v>3.65</v>
      </c>
      <c r="F4" s="135"/>
      <c r="G4" s="135"/>
      <c r="I4" s="135">
        <v>3.65</v>
      </c>
    </row>
    <row r="5" spans="1:9">
      <c r="C5" s="131" t="s">
        <v>182</v>
      </c>
      <c r="D5" s="132">
        <v>5.8</v>
      </c>
      <c r="F5" s="132"/>
      <c r="G5" s="132"/>
      <c r="I5" s="132">
        <v>5.8</v>
      </c>
    </row>
    <row r="6" spans="1:9">
      <c r="C6" s="1" t="s">
        <v>178</v>
      </c>
      <c r="D6" s="1">
        <f>D4^1.66</f>
        <v>8.5783972744961066</v>
      </c>
      <c r="I6" s="1">
        <f>I4^1.66</f>
        <v>8.5783972744961066</v>
      </c>
    </row>
    <row r="8" spans="1:9">
      <c r="A8" s="1">
        <f>[1]!MolarMass(C15)</f>
        <v>4.0026020000000004</v>
      </c>
    </row>
    <row r="9" spans="1:9">
      <c r="A9" s="1">
        <f>[1]!MolarMass(C16)</f>
        <v>28.013480000000001</v>
      </c>
    </row>
    <row r="10" spans="1:9">
      <c r="A10" s="1">
        <f>[1]!MolarMass(C17)</f>
        <v>16.0428</v>
      </c>
      <c r="F10" s="6"/>
      <c r="G10" s="6"/>
    </row>
    <row r="11" spans="1:9">
      <c r="A11" s="1">
        <f>[1]!MolarMass(C18)</f>
        <v>39.948</v>
      </c>
      <c r="D11" s="48" t="s">
        <v>209</v>
      </c>
      <c r="F11" s="48"/>
      <c r="G11" s="48"/>
      <c r="I11" s="48" t="s">
        <v>206</v>
      </c>
    </row>
    <row r="12" spans="1:9">
      <c r="A12" s="1">
        <f>[1]!MolarMass(C19)</f>
        <v>2.0158800000000001</v>
      </c>
      <c r="F12" s="155"/>
      <c r="G12" s="155"/>
    </row>
    <row r="13" spans="1:9">
      <c r="A13" s="1">
        <f>[1]!MolarMass(C20)</f>
        <v>28.958600656000002</v>
      </c>
      <c r="C13" s="7" t="s">
        <v>123</v>
      </c>
      <c r="D13" s="144" t="s">
        <v>54</v>
      </c>
      <c r="F13" s="144"/>
      <c r="G13" s="144"/>
      <c r="I13" s="144" t="s">
        <v>207</v>
      </c>
    </row>
    <row r="14" spans="1:9" hidden="1" outlineLevel="1">
      <c r="A14" s="1">
        <f>[1]!MolarMass(C21)</f>
        <v>28.010100000000001</v>
      </c>
      <c r="C14" s="32" t="s">
        <v>48</v>
      </c>
      <c r="D14" s="32" t="s">
        <v>49</v>
      </c>
      <c r="F14" s="32"/>
      <c r="G14" s="32"/>
      <c r="I14" s="32" t="s">
        <v>49</v>
      </c>
    </row>
    <row r="15" spans="1:9" hidden="1" outlineLevel="1">
      <c r="A15" s="1">
        <f>[1]!MolarMass(C22)</f>
        <v>31.998799999999999</v>
      </c>
      <c r="C15" s="33" t="s">
        <v>54</v>
      </c>
      <c r="D15" s="41">
        <v>1</v>
      </c>
      <c r="F15" s="41"/>
      <c r="G15" s="41"/>
      <c r="I15" s="41">
        <v>1</v>
      </c>
    </row>
    <row r="16" spans="1:9" hidden="1" outlineLevel="1">
      <c r="C16" s="33" t="s">
        <v>50</v>
      </c>
      <c r="D16" s="41">
        <v>0</v>
      </c>
      <c r="F16" s="41"/>
      <c r="G16" s="41"/>
      <c r="I16" s="41">
        <v>0</v>
      </c>
    </row>
    <row r="17" spans="3:9" hidden="1" outlineLevel="1">
      <c r="C17" s="33" t="s">
        <v>55</v>
      </c>
      <c r="D17" s="41">
        <v>0</v>
      </c>
      <c r="F17" s="41"/>
      <c r="G17" s="41"/>
      <c r="I17" s="41">
        <v>0</v>
      </c>
    </row>
    <row r="18" spans="3:9" hidden="1" outlineLevel="1">
      <c r="C18" s="33" t="s">
        <v>51</v>
      </c>
      <c r="D18" s="41">
        <v>0</v>
      </c>
      <c r="F18" s="41"/>
      <c r="G18" s="41"/>
      <c r="I18" s="41">
        <v>0</v>
      </c>
    </row>
    <row r="19" spans="3:9" hidden="1" outlineLevel="1">
      <c r="C19" s="33" t="s">
        <v>56</v>
      </c>
      <c r="D19" s="41">
        <v>0</v>
      </c>
      <c r="F19" s="41"/>
      <c r="G19" s="41"/>
      <c r="I19" s="41">
        <v>0</v>
      </c>
    </row>
    <row r="20" spans="3:9" hidden="1" outlineLevel="1">
      <c r="C20" s="33" t="s">
        <v>82</v>
      </c>
      <c r="D20" s="41">
        <v>0</v>
      </c>
      <c r="F20" s="41"/>
      <c r="G20" s="41"/>
      <c r="I20" s="41">
        <v>0</v>
      </c>
    </row>
    <row r="21" spans="3:9" hidden="1" outlineLevel="1">
      <c r="C21" s="33" t="s">
        <v>57</v>
      </c>
      <c r="D21" s="41">
        <v>0</v>
      </c>
      <c r="F21" s="41"/>
      <c r="G21" s="41"/>
      <c r="I21" s="41">
        <v>0</v>
      </c>
    </row>
    <row r="22" spans="3:9" hidden="1" outlineLevel="1">
      <c r="C22" s="33" t="s">
        <v>52</v>
      </c>
      <c r="D22" s="41">
        <v>0</v>
      </c>
      <c r="F22" s="41"/>
      <c r="G22" s="41"/>
      <c r="I22" s="41">
        <v>0</v>
      </c>
    </row>
    <row r="23" spans="3:9" hidden="1" outlineLevel="1">
      <c r="C23" s="34" t="s">
        <v>53</v>
      </c>
      <c r="D23" s="35">
        <f>SUM(D15:D22)</f>
        <v>1</v>
      </c>
      <c r="F23" s="35"/>
      <c r="G23" s="35"/>
      <c r="I23" s="35">
        <f>SUM(I15:I22)</f>
        <v>1</v>
      </c>
    </row>
    <row r="24" spans="3:9" collapsed="1">
      <c r="D24" s="6"/>
      <c r="F24" s="6"/>
      <c r="G24" s="6"/>
      <c r="I24" s="6"/>
    </row>
    <row r="25" spans="3:9">
      <c r="C25" s="7" t="s">
        <v>125</v>
      </c>
      <c r="D25" s="37">
        <v>5699</v>
      </c>
      <c r="F25" s="37"/>
      <c r="G25" s="37"/>
      <c r="I25" s="37">
        <v>6540</v>
      </c>
    </row>
    <row r="27" spans="3:9">
      <c r="C27" s="7" t="s">
        <v>114</v>
      </c>
      <c r="D27" s="45">
        <v>0.90346378339929556</v>
      </c>
      <c r="F27" s="45"/>
      <c r="G27" s="45"/>
      <c r="I27" s="45">
        <v>0.82203058218450165</v>
      </c>
    </row>
    <row r="28" spans="3:9">
      <c r="C28" s="7" t="s">
        <v>68</v>
      </c>
      <c r="D28" s="46">
        <f>D25*D27</f>
        <v>5148.8401015925856</v>
      </c>
      <c r="F28" s="46"/>
      <c r="G28" s="46"/>
      <c r="I28" s="46">
        <f>I25*I27</f>
        <v>5376.0800074866411</v>
      </c>
    </row>
    <row r="29" spans="3:9">
      <c r="C29" s="7" t="s">
        <v>128</v>
      </c>
      <c r="D29" s="56">
        <f>D28*D38*273.15/(273.15+D36)</f>
        <v>21760.87998994298</v>
      </c>
      <c r="F29" s="56"/>
      <c r="G29" s="56"/>
      <c r="I29" s="56">
        <f>I28*I38*273.15/(273.15+I36)</f>
        <v>4925.2934900049504</v>
      </c>
    </row>
    <row r="30" spans="3:9">
      <c r="C30" s="7" t="s">
        <v>129</v>
      </c>
      <c r="D30" s="81">
        <f>D31*3.6</f>
        <v>3826.8</v>
      </c>
      <c r="F30" s="81"/>
      <c r="G30" s="81"/>
      <c r="I30" s="81">
        <f>I31*3.6</f>
        <v>3732.1588780255875</v>
      </c>
    </row>
    <row r="31" spans="3:9">
      <c r="C31" s="7" t="s">
        <v>130</v>
      </c>
      <c r="D31" s="47">
        <f>D28*D101*1000/3600</f>
        <v>1063</v>
      </c>
      <c r="F31" s="47"/>
      <c r="G31" s="47"/>
      <c r="I31" s="47">
        <f>I28*I101*1000/3600</f>
        <v>1036.710799451552</v>
      </c>
    </row>
    <row r="32" spans="3:9">
      <c r="C32" s="7" t="s">
        <v>2</v>
      </c>
      <c r="D32" s="42">
        <f>[1]!MolarMass(D13)</f>
        <v>4.0026020000000004</v>
      </c>
      <c r="F32" s="42"/>
      <c r="G32" s="42"/>
      <c r="I32" s="42">
        <f>[1]!MolarMass(I13)</f>
        <v>17.030259999999998</v>
      </c>
    </row>
    <row r="33" spans="1:9">
      <c r="C33" s="7" t="s">
        <v>3</v>
      </c>
      <c r="D33" s="39">
        <f>[1]!Isentropicexpansioncoef(D13,"TP","SI with C",D36,D38/10)</f>
        <v>1.6697136391147058</v>
      </c>
      <c r="F33" s="39"/>
      <c r="G33" s="39"/>
      <c r="I33" s="39">
        <f>[1]!Isentropicexpansioncoef(I13,"TP","SI with C",I36,I38/10)</f>
        <v>1.3019801225312162</v>
      </c>
    </row>
    <row r="34" spans="1:9">
      <c r="C34" s="7" t="s">
        <v>4</v>
      </c>
      <c r="D34" s="38">
        <f>[1]!IsobaricHeatCapacity(D13,"TP","SI with C",D36,D38/10)</f>
        <v>5.1932175048420506</v>
      </c>
      <c r="F34" s="38"/>
      <c r="G34" s="38"/>
      <c r="I34" s="38">
        <f>[1]!IsobaricHeatCapacity(I13,"TP","SI with C",I36,I38/10)</f>
        <v>2.1635114445215873</v>
      </c>
    </row>
    <row r="35" spans="1:9">
      <c r="C35" s="7" t="s">
        <v>5</v>
      </c>
      <c r="D35" s="8">
        <f>D39/D38</f>
        <v>4</v>
      </c>
      <c r="F35" s="8"/>
      <c r="G35" s="8"/>
      <c r="I35" s="8">
        <f>I39/I38</f>
        <v>5</v>
      </c>
    </row>
    <row r="36" spans="1:9">
      <c r="C36" s="7" t="s">
        <v>6</v>
      </c>
      <c r="D36" s="74">
        <v>50</v>
      </c>
      <c r="F36" s="74"/>
      <c r="G36" s="74"/>
      <c r="I36" s="74">
        <v>25</v>
      </c>
    </row>
    <row r="37" spans="1:9">
      <c r="C37" s="7" t="s">
        <v>7</v>
      </c>
      <c r="D37" s="10">
        <v>5</v>
      </c>
      <c r="F37" s="10"/>
      <c r="G37" s="10"/>
      <c r="I37" s="10">
        <v>1</v>
      </c>
    </row>
    <row r="38" spans="1:9">
      <c r="C38" s="7" t="s">
        <v>7</v>
      </c>
      <c r="D38" s="40">
        <f>D37</f>
        <v>5</v>
      </c>
      <c r="F38" s="40"/>
      <c r="G38" s="40"/>
      <c r="I38" s="40">
        <f>I37</f>
        <v>1</v>
      </c>
    </row>
    <row r="39" spans="1:9">
      <c r="C39" s="7" t="s">
        <v>8</v>
      </c>
      <c r="D39" s="27">
        <v>20</v>
      </c>
      <c r="F39" s="27"/>
      <c r="G39" s="27"/>
      <c r="I39" s="27">
        <v>5</v>
      </c>
    </row>
    <row r="40" spans="1:9">
      <c r="A40" s="130">
        <f>3.99/1.05</f>
        <v>3.8</v>
      </c>
      <c r="C40" s="7" t="s">
        <v>179</v>
      </c>
      <c r="D40" s="130">
        <f>D39/D38</f>
        <v>4</v>
      </c>
      <c r="F40" s="130"/>
      <c r="G40" s="130"/>
      <c r="I40" s="130">
        <f>I39/I38</f>
        <v>5</v>
      </c>
    </row>
    <row r="41" spans="1:9">
      <c r="A41" s="130">
        <f>A40^(1/D33)</f>
        <v>2.2245150485924201</v>
      </c>
      <c r="C41" s="7" t="s">
        <v>183</v>
      </c>
      <c r="D41" s="130">
        <f>D40^(1/D33)</f>
        <v>2.2939122163573895</v>
      </c>
      <c r="F41" s="130"/>
      <c r="G41" s="130"/>
      <c r="I41" s="130">
        <f>I40^(1/I33)</f>
        <v>3.4423221973080018</v>
      </c>
    </row>
    <row r="42" spans="1:9">
      <c r="C42" s="7" t="s">
        <v>184</v>
      </c>
      <c r="D42" s="156">
        <v>3</v>
      </c>
      <c r="F42" s="130"/>
      <c r="G42" s="130"/>
      <c r="I42" s="130">
        <f>I3</f>
        <v>2.63</v>
      </c>
    </row>
    <row r="43" spans="1:9">
      <c r="C43" s="7" t="s">
        <v>185</v>
      </c>
      <c r="D43" s="130">
        <f>D42^D33</f>
        <v>6.2611753462995132</v>
      </c>
      <c r="F43" s="130"/>
      <c r="G43" s="130"/>
      <c r="I43" s="130">
        <f>I42^I33</f>
        <v>3.5218758040502589</v>
      </c>
    </row>
    <row r="44" spans="1:9">
      <c r="C44" s="7" t="s">
        <v>186</v>
      </c>
      <c r="D44" s="136">
        <f>D43/D40</f>
        <v>1.5652938365748783</v>
      </c>
      <c r="E44" s="43"/>
      <c r="F44" s="136"/>
      <c r="G44" s="136"/>
      <c r="I44" s="136">
        <f>I43/I40</f>
        <v>0.7043751608100518</v>
      </c>
    </row>
    <row r="45" spans="1:9">
      <c r="C45" s="7" t="s">
        <v>78</v>
      </c>
      <c r="D45" s="30">
        <f>(D31*8.314/D32*(D36+273.15)*LN(D39/D38)/1000)</f>
        <v>989.14621528873681</v>
      </c>
      <c r="F45" s="30"/>
      <c r="G45" s="30"/>
      <c r="I45" s="30">
        <f>(I31*8.314/I32*(I36+273.15)*LN(I39/I38)/1000)</f>
        <v>242.85967281982761</v>
      </c>
    </row>
    <row r="46" spans="1:9">
      <c r="C46" s="7" t="s">
        <v>79</v>
      </c>
      <c r="D46" s="30">
        <f>D38*10^5*D28/3600*LN(D39/D38)/1000</f>
        <v>991.36222210357857</v>
      </c>
      <c r="F46" s="30"/>
      <c r="G46" s="30"/>
      <c r="I46" s="30">
        <f>I38*10^5*I28/3600*LN(I39/I38)/1000</f>
        <v>240.3463051202223</v>
      </c>
    </row>
    <row r="47" spans="1:9">
      <c r="C47" s="7" t="s">
        <v>117</v>
      </c>
      <c r="D47" s="30">
        <f>(D31*8.314/D32*(D36+273.15)*D33/(D33-1)*((D39/D38)^((D33-1)/D33)-1))/1000</f>
        <v>1323.0689178992086</v>
      </c>
      <c r="F47" s="30"/>
      <c r="G47" s="30"/>
      <c r="I47" s="30">
        <f>(I31*8.314/I32*(I36+273.15)*I33/(I33-1)*((I39/I38)^((I33-1)/I33)-1))/1000</f>
        <v>294.39693809447647</v>
      </c>
    </row>
    <row r="48" spans="1:9">
      <c r="A48" s="1">
        <f>38.3</f>
        <v>38.299999999999997</v>
      </c>
      <c r="C48" s="7" t="s">
        <v>69</v>
      </c>
      <c r="D48" s="49">
        <v>0.95</v>
      </c>
      <c r="F48" s="49"/>
      <c r="G48" s="49"/>
      <c r="I48" s="49">
        <v>0.95</v>
      </c>
    </row>
    <row r="49" spans="1:9">
      <c r="A49" s="1">
        <v>35.86</v>
      </c>
      <c r="C49" s="7" t="s">
        <v>131</v>
      </c>
      <c r="D49" s="89">
        <f>D51/(3^0.5*6600*0.91)*1000</f>
        <v>172.07078187560097</v>
      </c>
      <c r="F49" s="89"/>
      <c r="G49" s="89"/>
      <c r="I49" s="89">
        <f>I51/(3^0.5*6600*0.91)*1000</f>
        <v>51.879637946435757</v>
      </c>
    </row>
    <row r="50" spans="1:9">
      <c r="A50" s="1">
        <f>A48-A49</f>
        <v>2.4399999999999977</v>
      </c>
    </row>
    <row r="51" spans="1:9">
      <c r="C51" s="7" t="s">
        <v>10</v>
      </c>
      <c r="D51" s="30">
        <f>D45/D52</f>
        <v>1790.0002322600965</v>
      </c>
      <c r="F51" s="30"/>
      <c r="G51" s="30"/>
      <c r="I51" s="30">
        <f>I45/I52</f>
        <v>539.68816182183912</v>
      </c>
    </row>
    <row r="52" spans="1:9">
      <c r="C52" s="104" t="s">
        <v>9</v>
      </c>
      <c r="D52" s="49">
        <v>0.55259557929767278</v>
      </c>
      <c r="E52" s="105"/>
      <c r="F52" s="49"/>
      <c r="G52" s="49"/>
      <c r="I52" s="49">
        <v>0.45</v>
      </c>
    </row>
    <row r="53" spans="1:9">
      <c r="C53" s="7" t="s">
        <v>118</v>
      </c>
      <c r="D53" s="64">
        <f>D47/D51</f>
        <v>0.73914455096392395</v>
      </c>
      <c r="F53" s="64"/>
      <c r="G53" s="64"/>
      <c r="I53" s="64">
        <f>I47/I51</f>
        <v>0.54549452613648819</v>
      </c>
    </row>
    <row r="54" spans="1:9">
      <c r="C54" s="7"/>
      <c r="D54" s="64"/>
      <c r="F54" s="64"/>
      <c r="G54" s="64"/>
      <c r="I54" s="64"/>
    </row>
    <row r="55" spans="1:9">
      <c r="C55" s="12" t="s">
        <v>152</v>
      </c>
      <c r="D55" s="74">
        <v>80</v>
      </c>
      <c r="F55" s="74"/>
      <c r="G55" s="74"/>
      <c r="I55" s="74">
        <v>80</v>
      </c>
    </row>
    <row r="56" spans="1:9">
      <c r="C56" s="7" t="s">
        <v>15</v>
      </c>
      <c r="D56" s="145">
        <f>D62+D57</f>
        <v>36.102604758347148</v>
      </c>
      <c r="F56" s="145"/>
      <c r="G56" s="145"/>
      <c r="I56" s="145">
        <f>I62+I57</f>
        <v>36.102604758347148</v>
      </c>
    </row>
    <row r="57" spans="1:9">
      <c r="C57" s="12" t="s">
        <v>174</v>
      </c>
      <c r="D57" s="147">
        <v>6.102604758347149</v>
      </c>
      <c r="F57" s="119"/>
      <c r="G57" s="119"/>
      <c r="I57" s="147">
        <v>6.102604758347149</v>
      </c>
    </row>
    <row r="58" spans="1:9">
      <c r="C58" s="12" t="s">
        <v>201</v>
      </c>
      <c r="D58" s="119">
        <v>3</v>
      </c>
      <c r="F58" s="119"/>
      <c r="G58" s="119"/>
      <c r="I58" s="119">
        <v>3</v>
      </c>
    </row>
    <row r="59" spans="1:9">
      <c r="C59" s="12" t="s">
        <v>204</v>
      </c>
      <c r="D59" s="119">
        <v>10</v>
      </c>
      <c r="F59" s="119"/>
      <c r="G59" s="119"/>
      <c r="I59" s="119">
        <v>10</v>
      </c>
    </row>
    <row r="61" spans="1:9">
      <c r="C61" s="7" t="s">
        <v>157</v>
      </c>
      <c r="D61" s="64"/>
      <c r="F61" s="64"/>
      <c r="G61" s="64"/>
      <c r="I61" s="64"/>
    </row>
    <row r="62" spans="1:9">
      <c r="C62" s="113" t="s">
        <v>155</v>
      </c>
      <c r="D62" s="74">
        <v>30</v>
      </c>
      <c r="E62" s="85"/>
      <c r="F62" s="74"/>
      <c r="G62" s="74"/>
      <c r="I62" s="74">
        <v>30</v>
      </c>
    </row>
    <row r="63" spans="1:9">
      <c r="C63" s="113" t="s">
        <v>156</v>
      </c>
      <c r="D63" s="152">
        <v>31.734477507015132</v>
      </c>
      <c r="E63" s="85"/>
      <c r="F63" s="100"/>
      <c r="G63" s="100"/>
      <c r="I63" s="152">
        <v>32.30556101747198</v>
      </c>
    </row>
    <row r="64" spans="1:9">
      <c r="C64" s="114" t="s">
        <v>203</v>
      </c>
      <c r="D64" s="111">
        <f>D63-D62</f>
        <v>1.7344775070151321</v>
      </c>
      <c r="E64" s="85"/>
      <c r="F64" s="152"/>
      <c r="G64" s="152"/>
      <c r="I64" s="111">
        <f>I63-I62</f>
        <v>2.3055610174719803</v>
      </c>
    </row>
    <row r="65" spans="3:9">
      <c r="C65" s="114" t="s">
        <v>163</v>
      </c>
      <c r="D65" s="150">
        <f>D69*1000/((D63-D62)*4.18)/1000*3600/1000</f>
        <v>120.3278272358171</v>
      </c>
      <c r="E65" s="85"/>
      <c r="F65" s="150"/>
      <c r="G65" s="150"/>
      <c r="I65" s="150">
        <f>I69*1000/((I63-I62)*4.18)/1000*3600/1000</f>
        <v>36.779444800060332</v>
      </c>
    </row>
    <row r="66" spans="3:9">
      <c r="C66" s="114" t="s">
        <v>169</v>
      </c>
      <c r="D66" s="111">
        <f>D55</f>
        <v>80</v>
      </c>
      <c r="E66" s="85"/>
      <c r="F66" s="111"/>
      <c r="G66" s="111"/>
      <c r="I66" s="111">
        <f>I55</f>
        <v>80</v>
      </c>
    </row>
    <row r="67" spans="3:9">
      <c r="C67" s="114" t="s">
        <v>170</v>
      </c>
      <c r="D67" s="111">
        <f>D56</f>
        <v>36.102604758347148</v>
      </c>
      <c r="E67" s="85"/>
      <c r="F67" s="111"/>
      <c r="G67" s="111"/>
      <c r="I67" s="111">
        <f>I56</f>
        <v>36.102604758347148</v>
      </c>
    </row>
    <row r="68" spans="3:9">
      <c r="C68" s="112" t="s">
        <v>133</v>
      </c>
      <c r="D68" s="100">
        <f>((D67-D62)-(D66-D63))/LN((D67-D62)/(D66-D63))</f>
        <v>20.388240384140463</v>
      </c>
      <c r="E68" s="85"/>
      <c r="F68" s="100"/>
      <c r="G68" s="100"/>
      <c r="I68" s="100">
        <f>((I67-I62)-(I66-I63))/LN((I67-I62)/(I66-I63))</f>
        <v>20.228516151570823</v>
      </c>
    </row>
    <row r="69" spans="3:9">
      <c r="C69" s="115" t="s">
        <v>205</v>
      </c>
      <c r="D69" s="30">
        <f>D31*D34*(D66-D67)/1000</f>
        <v>242.33075083323479</v>
      </c>
      <c r="E69" s="85"/>
      <c r="F69" s="30"/>
      <c r="G69" s="30"/>
      <c r="I69" s="30">
        <f>I31*I34*(I66-I67)/1000</f>
        <v>98.459034014632564</v>
      </c>
    </row>
    <row r="70" spans="3:9">
      <c r="C70" s="115" t="s">
        <v>161</v>
      </c>
      <c r="D70" s="18">
        <f>D69/D68</f>
        <v>11.885809970228634</v>
      </c>
      <c r="E70" s="85"/>
      <c r="F70" s="18"/>
      <c r="G70" s="18"/>
      <c r="I70" s="18">
        <f>I69/I68</f>
        <v>4.8673384284287629</v>
      </c>
    </row>
    <row r="71" spans="3:9">
      <c r="C71" s="115" t="s">
        <v>165</v>
      </c>
      <c r="D71" s="103">
        <v>0</v>
      </c>
      <c r="E71" s="85"/>
      <c r="F71" s="103"/>
      <c r="G71" s="103"/>
      <c r="I71" s="103">
        <v>0</v>
      </c>
    </row>
    <row r="72" spans="3:9">
      <c r="C72" s="112" t="s">
        <v>162</v>
      </c>
      <c r="D72" s="92">
        <f>D70*D68</f>
        <v>242.33075083323479</v>
      </c>
      <c r="E72" s="85"/>
      <c r="F72" s="92"/>
      <c r="G72" s="92"/>
      <c r="I72" s="92">
        <f>I70*I68</f>
        <v>98.459034014632579</v>
      </c>
    </row>
    <row r="73" spans="3:9">
      <c r="C73" s="115" t="s">
        <v>164</v>
      </c>
      <c r="E73" s="124"/>
    </row>
    <row r="75" spans="3:9">
      <c r="C75" s="7" t="s">
        <v>158</v>
      </c>
      <c r="D75" s="74"/>
      <c r="E75" s="85"/>
      <c r="F75" s="74"/>
      <c r="G75" s="74"/>
      <c r="I75" s="74"/>
    </row>
    <row r="76" spans="3:9">
      <c r="C76" s="113" t="s">
        <v>155</v>
      </c>
      <c r="D76" s="111">
        <f>D63</f>
        <v>31.734477507015132</v>
      </c>
      <c r="E76" s="85"/>
      <c r="F76" s="111"/>
      <c r="G76" s="111"/>
      <c r="I76" s="111">
        <f>I63</f>
        <v>32.30556101747198</v>
      </c>
    </row>
    <row r="77" spans="3:9">
      <c r="C77" s="113" t="s">
        <v>156</v>
      </c>
      <c r="D77" s="100">
        <f>D62+D59</f>
        <v>40</v>
      </c>
      <c r="E77" s="85"/>
      <c r="F77" s="100"/>
      <c r="G77" s="100"/>
      <c r="I77" s="100">
        <f>I62+I59</f>
        <v>40</v>
      </c>
    </row>
    <row r="78" spans="3:9">
      <c r="C78" s="114" t="s">
        <v>163</v>
      </c>
      <c r="D78" s="150">
        <f>D86*1000/((D77-D76)*4.18)/1000*3600/1000</f>
        <v>163.68965701917642</v>
      </c>
      <c r="E78" s="85"/>
      <c r="F78" s="150"/>
      <c r="G78" s="150"/>
      <c r="I78" s="150">
        <f>I86*1000/((I77-I76)*4.18)/1000*3600/1000</f>
        <v>36.779443166237122</v>
      </c>
    </row>
    <row r="79" spans="3:9">
      <c r="C79" s="114" t="s">
        <v>159</v>
      </c>
      <c r="D79" s="111">
        <f>D55</f>
        <v>80</v>
      </c>
      <c r="E79" s="85"/>
      <c r="F79" s="111"/>
      <c r="G79" s="111"/>
      <c r="I79" s="111">
        <f>I55</f>
        <v>80</v>
      </c>
    </row>
    <row r="80" spans="3:9">
      <c r="C80" s="114" t="s">
        <v>192</v>
      </c>
      <c r="D80" s="74">
        <f>D76+D58</f>
        <v>34.734477507015129</v>
      </c>
      <c r="E80" s="85"/>
      <c r="F80" s="74"/>
      <c r="G80" s="74"/>
      <c r="I80" s="74">
        <f>I76+I58</f>
        <v>35.30556101747198</v>
      </c>
    </row>
    <row r="81" spans="3:9">
      <c r="C81" s="114" t="s">
        <v>194</v>
      </c>
      <c r="D81" s="74">
        <f>D76+D58</f>
        <v>34.734477507015129</v>
      </c>
      <c r="E81" s="85"/>
      <c r="F81" s="74"/>
      <c r="G81" s="74"/>
      <c r="I81" s="74">
        <f>I76+I58</f>
        <v>35.30556101747198</v>
      </c>
    </row>
    <row r="82" spans="3:9">
      <c r="C82" s="114" t="s">
        <v>21</v>
      </c>
      <c r="D82" s="86">
        <v>1.95</v>
      </c>
      <c r="E82" s="85"/>
      <c r="F82" s="83"/>
      <c r="G82" s="83"/>
      <c r="I82" s="86">
        <v>1.95</v>
      </c>
    </row>
    <row r="83" spans="3:9">
      <c r="C83" s="114" t="s">
        <v>22</v>
      </c>
      <c r="D83" s="16">
        <v>980</v>
      </c>
      <c r="E83" s="85"/>
      <c r="F83" s="87"/>
      <c r="G83" s="87"/>
      <c r="I83" s="16">
        <v>980</v>
      </c>
    </row>
    <row r="84" spans="3:9">
      <c r="C84" s="7" t="s">
        <v>26</v>
      </c>
      <c r="D84" s="13">
        <f>(273.15+D36)*(D39/D38)^((D33-1)/D33)-273.15</f>
        <v>290.34148445295773</v>
      </c>
      <c r="F84" s="13"/>
      <c r="G84" s="13"/>
      <c r="I84" s="13">
        <f>(273.15+I36)*(I39/I38)^((I33-1)/I33)-273.15</f>
        <v>159.91521428058377</v>
      </c>
    </row>
    <row r="85" spans="3:9">
      <c r="C85" s="7" t="s">
        <v>74</v>
      </c>
      <c r="D85" s="13">
        <f>D84-D55</f>
        <v>210.34148445295773</v>
      </c>
      <c r="F85" s="13"/>
      <c r="G85" s="13"/>
      <c r="I85" s="13">
        <f>I84-I55</f>
        <v>79.915214280583768</v>
      </c>
    </row>
    <row r="86" spans="3:9">
      <c r="C86" s="7" t="s">
        <v>135</v>
      </c>
      <c r="D86" s="92">
        <f>D34*D85*D31/1000/D53</f>
        <v>1570.9607403880279</v>
      </c>
      <c r="E86" s="25"/>
      <c r="F86" s="92"/>
      <c r="G86" s="92"/>
      <c r="I86" s="92">
        <f>I34*I85*I31/1000/I53</f>
        <v>328.59117156710801</v>
      </c>
    </row>
    <row r="87" spans="3:9">
      <c r="C87" s="7" t="s">
        <v>190</v>
      </c>
      <c r="D87" s="141">
        <f>D86/(D82*(D55-D81))*3600</f>
        <v>64071.616835385532</v>
      </c>
      <c r="F87" s="141"/>
      <c r="G87" s="141"/>
      <c r="I87" s="141">
        <f>I86/(I82*(I55-I81))*3600</f>
        <v>13572.826262299859</v>
      </c>
    </row>
    <row r="88" spans="3:9">
      <c r="C88" s="7" t="s">
        <v>124</v>
      </c>
      <c r="D88" s="22">
        <f>D87/D83</f>
        <v>65.379200852434209</v>
      </c>
      <c r="F88" s="22"/>
      <c r="G88" s="22"/>
      <c r="I88" s="22">
        <f>I87/I83</f>
        <v>13.849822716632509</v>
      </c>
    </row>
    <row r="89" spans="3:9">
      <c r="C89" s="7" t="s">
        <v>195</v>
      </c>
      <c r="D89" s="103">
        <v>0</v>
      </c>
      <c r="F89" s="103"/>
      <c r="G89" s="103"/>
      <c r="I89" s="103">
        <v>0</v>
      </c>
    </row>
    <row r="90" spans="3:9">
      <c r="C90" s="7" t="s">
        <v>124</v>
      </c>
      <c r="D90" s="153">
        <f>D88*1000/60</f>
        <v>1089.6533475405702</v>
      </c>
      <c r="F90" s="153"/>
      <c r="G90" s="153"/>
      <c r="H90" s="1">
        <f>F90/D90</f>
        <v>0</v>
      </c>
      <c r="I90" s="153">
        <f>I88*1000/60</f>
        <v>230.8303786105418</v>
      </c>
    </row>
    <row r="91" spans="3:9">
      <c r="C91" s="7" t="s">
        <v>172</v>
      </c>
      <c r="D91" s="93">
        <v>0.92255515242259667</v>
      </c>
      <c r="E91" s="106"/>
      <c r="F91" s="93"/>
      <c r="G91" s="93"/>
      <c r="I91" s="93">
        <v>0.92255515242259667</v>
      </c>
    </row>
    <row r="92" spans="3:9">
      <c r="C92" s="7" t="s">
        <v>171</v>
      </c>
      <c r="D92" s="18">
        <f>((D79-D77)-(D81-D76))/LN((D79-D77)/(D81-D76))*D91</f>
        <v>13.177999974284875</v>
      </c>
      <c r="F92" s="18"/>
      <c r="G92" s="18"/>
      <c r="I92" s="18">
        <f>((I79-I77)-(I81-I76))/LN((I79-I77)/(I81-I76))*I91</f>
        <v>13.177999974284882</v>
      </c>
    </row>
    <row r="93" spans="3:9">
      <c r="C93" s="7" t="s">
        <v>150</v>
      </c>
      <c r="D93" s="18">
        <f>D86/D92</f>
        <v>119.21086230486797</v>
      </c>
      <c r="F93" s="18"/>
      <c r="G93" s="18"/>
      <c r="H93" s="1">
        <f>F93/D93</f>
        <v>0</v>
      </c>
      <c r="I93" s="18">
        <f>I86/I92</f>
        <v>24.93482866962438</v>
      </c>
    </row>
    <row r="94" spans="3:9">
      <c r="C94" s="115" t="s">
        <v>165</v>
      </c>
      <c r="D94" s="103">
        <v>0</v>
      </c>
      <c r="F94" s="103"/>
      <c r="G94" s="103"/>
      <c r="I94" s="103">
        <v>0</v>
      </c>
    </row>
    <row r="95" spans="3:9">
      <c r="C95" s="7" t="s">
        <v>148</v>
      </c>
      <c r="D95" s="92">
        <f>D93*D92</f>
        <v>1570.9607403880279</v>
      </c>
      <c r="F95" s="92"/>
      <c r="G95" s="92"/>
      <c r="I95" s="92">
        <f>I93*I92</f>
        <v>328.59117156710801</v>
      </c>
    </row>
    <row r="96" spans="3:9">
      <c r="C96" s="115" t="s">
        <v>164</v>
      </c>
      <c r="E96" s="122"/>
    </row>
    <row r="98" spans="3:9">
      <c r="C98" s="1" t="s">
        <v>202</v>
      </c>
      <c r="D98" s="151">
        <f>D65-D78</f>
        <v>-43.361829783359326</v>
      </c>
      <c r="F98" s="151"/>
      <c r="G98" s="151"/>
      <c r="I98" s="151">
        <f>I65-I78</f>
        <v>1.6338232100565619E-6</v>
      </c>
    </row>
    <row r="99" spans="3:9">
      <c r="C99" s="43" t="s">
        <v>104</v>
      </c>
      <c r="D99" s="75">
        <f>D30/D102</f>
        <v>1223.079891516225</v>
      </c>
      <c r="F99" s="75"/>
      <c r="G99" s="75"/>
      <c r="I99" s="75">
        <f>I30/I102</f>
        <v>1058.4331707053725</v>
      </c>
    </row>
    <row r="100" spans="3:9">
      <c r="C100" s="43" t="s">
        <v>105</v>
      </c>
      <c r="D100" s="63">
        <f>D88/(D99+D160)</f>
        <v>5.3454562785252784E-2</v>
      </c>
      <c r="F100" s="63"/>
      <c r="G100" s="63"/>
      <c r="I100" s="63">
        <f>I88/(I99+I160)</f>
        <v>1.3085212274103768E-2</v>
      </c>
    </row>
    <row r="101" spans="3:9">
      <c r="C101" s="43" t="s">
        <v>119</v>
      </c>
      <c r="D101" s="1">
        <f>[1]!density(D13,"TP","SI with C",D36,D38/10)</f>
        <v>0.74323535485522929</v>
      </c>
      <c r="I101" s="1">
        <f>[1]!density(I13,"TP","SI with C",I36,I38/10)</f>
        <v>0.69421565021879217</v>
      </c>
    </row>
    <row r="102" spans="3:9">
      <c r="C102" s="43" t="s">
        <v>120</v>
      </c>
      <c r="D102" s="1">
        <f>[1]!density(D13,"TP","SI with C",D63,D39/10)</f>
        <v>3.1288225949459454</v>
      </c>
      <c r="I102" s="1">
        <f>[1]!density(I13,"TP","SI with C",I63,I39/10)</f>
        <v>3.5261166990244281</v>
      </c>
    </row>
    <row r="103" spans="3:9">
      <c r="C103" s="43" t="s">
        <v>126</v>
      </c>
      <c r="D103" s="1">
        <f>[1]!density("helium","TP","SI with C",0,1/10)</f>
        <v>0.1761481440000498</v>
      </c>
      <c r="I103" s="1">
        <f>[1]!density("helium","TP","SI with C",0,1/10)</f>
        <v>0.1761481440000498</v>
      </c>
    </row>
    <row r="106" spans="3:9">
      <c r="C106" s="12" t="s">
        <v>166</v>
      </c>
      <c r="D106" s="119">
        <f>D77-D62</f>
        <v>10</v>
      </c>
      <c r="F106" s="119"/>
      <c r="G106" s="119"/>
      <c r="I106" s="119">
        <f>I77-I62</f>
        <v>10</v>
      </c>
    </row>
    <row r="107" spans="3:9">
      <c r="C107" s="7" t="s">
        <v>17</v>
      </c>
      <c r="D107" s="28">
        <f>D51/(D106*4.18)*3.6</f>
        <v>154.16269942909923</v>
      </c>
      <c r="F107" s="28"/>
      <c r="G107" s="28"/>
      <c r="H107" s="1" t="e">
        <f>F78/F107</f>
        <v>#DIV/0!</v>
      </c>
      <c r="I107" s="28">
        <f>I51/(I106*4.18)*3.6</f>
        <v>46.48032015690481</v>
      </c>
    </row>
    <row r="108" spans="3:9">
      <c r="F108" s="153"/>
      <c r="G108" s="153"/>
    </row>
    <row r="109" spans="3:9">
      <c r="C109" s="1" t="s">
        <v>167</v>
      </c>
      <c r="D109" s="97">
        <f>D86+D72</f>
        <v>1813.2914912212627</v>
      </c>
      <c r="E109" s="97"/>
      <c r="F109" s="97"/>
      <c r="G109" s="97"/>
      <c r="I109" s="97">
        <f>I86+I72</f>
        <v>427.05020558174056</v>
      </c>
    </row>
    <row r="110" spans="3:9">
      <c r="C110" s="1" t="s">
        <v>168</v>
      </c>
      <c r="D110" s="97">
        <f>D51</f>
        <v>1790.0002322600965</v>
      </c>
      <c r="F110" s="97"/>
      <c r="G110" s="97"/>
      <c r="I110" s="97">
        <f>I51</f>
        <v>539.68816182183912</v>
      </c>
    </row>
    <row r="111" spans="3:9">
      <c r="D111" s="97">
        <f>D109-D110</f>
        <v>23.29125896116625</v>
      </c>
      <c r="F111" s="97"/>
      <c r="G111" s="97"/>
      <c r="I111" s="97">
        <f>I109-I110</f>
        <v>-112.63795624009856</v>
      </c>
    </row>
    <row r="114" spans="2:9">
      <c r="B114" s="99"/>
      <c r="C114" s="7"/>
      <c r="D114" s="9"/>
      <c r="E114" s="85"/>
      <c r="F114" s="9"/>
      <c r="G114" s="9"/>
      <c r="I114" s="9"/>
    </row>
    <row r="115" spans="2:9">
      <c r="B115" s="99"/>
      <c r="E115" s="85"/>
    </row>
    <row r="132" spans="3:9">
      <c r="C132" s="1" t="s">
        <v>137</v>
      </c>
    </row>
    <row r="133" spans="3:9">
      <c r="C133" s="1" t="s">
        <v>153</v>
      </c>
    </row>
    <row r="141" spans="3:9">
      <c r="C141" s="17" t="s">
        <v>23</v>
      </c>
      <c r="D141" s="18">
        <f>D142/D83*10^6</f>
        <v>11.288071981352864</v>
      </c>
      <c r="F141" s="18"/>
      <c r="G141" s="18"/>
      <c r="I141" s="18">
        <f>I142/I83*10^6</f>
        <v>11.288071981352864</v>
      </c>
    </row>
    <row r="142" spans="3:9">
      <c r="C142" s="17" t="s">
        <v>24</v>
      </c>
      <c r="D142" s="19">
        <f>[2]!mu_("BREOXB35",D39,D55+273)</f>
        <v>1.1062310541725807E-2</v>
      </c>
      <c r="F142" s="19"/>
      <c r="G142" s="19"/>
      <c r="I142" s="19">
        <f>[2]!mu_("BREOXB35",I39,I55+273)</f>
        <v>1.1062310541725807E-2</v>
      </c>
    </row>
    <row r="145" spans="3:9">
      <c r="D145" s="97">
        <f>D86-D95</f>
        <v>0</v>
      </c>
      <c r="F145" s="97"/>
      <c r="G145" s="97"/>
      <c r="I145" s="97">
        <f>I86-I95</f>
        <v>0</v>
      </c>
    </row>
    <row r="146" spans="3:9">
      <c r="D146" s="1">
        <f>D93/429.82</f>
        <v>0.27735066377755335</v>
      </c>
      <c r="I146" s="1">
        <f>I93/429.82</f>
        <v>5.8012257851250248E-2</v>
      </c>
    </row>
    <row r="147" spans="3:9">
      <c r="C147" s="1" t="s">
        <v>136</v>
      </c>
      <c r="D147" s="1">
        <v>0.14510000000000001</v>
      </c>
      <c r="I147" s="1">
        <v>0.14510000000000001</v>
      </c>
    </row>
    <row r="148" spans="3:9">
      <c r="D148" s="1">
        <v>0.62909999999999999</v>
      </c>
      <c r="I148" s="1">
        <v>0.62909999999999999</v>
      </c>
    </row>
    <row r="149" spans="3:9">
      <c r="D149" s="1">
        <f>1/(1/D147+1/D148)</f>
        <v>0.11790546370446912</v>
      </c>
      <c r="I149" s="1">
        <f>1/(1/I147+1/I148)</f>
        <v>0.11790546370446912</v>
      </c>
    </row>
    <row r="150" spans="3:9">
      <c r="C150"/>
    </row>
    <row r="151" spans="3:9">
      <c r="C151"/>
    </row>
    <row r="152" spans="3:9" ht="15">
      <c r="C152" s="65" t="s">
        <v>137</v>
      </c>
      <c r="D152" s="1">
        <f>2895.06*10^3</f>
        <v>2895060</v>
      </c>
      <c r="E152" s="1" t="s">
        <v>142</v>
      </c>
      <c r="I152" s="1">
        <f>2895.06*10^3</f>
        <v>2895060</v>
      </c>
    </row>
    <row r="153" spans="3:9">
      <c r="C153" s="1" t="s">
        <v>133</v>
      </c>
      <c r="D153" s="1">
        <f>20.43</f>
        <v>20.43</v>
      </c>
      <c r="I153" s="1">
        <f>20.43</f>
        <v>20.43</v>
      </c>
    </row>
    <row r="154" spans="3:9">
      <c r="C154" s="1" t="s">
        <v>145</v>
      </c>
      <c r="D154" s="1">
        <v>429.82</v>
      </c>
      <c r="E154" s="1" t="s">
        <v>146</v>
      </c>
      <c r="I154" s="1">
        <v>429.82</v>
      </c>
    </row>
    <row r="155" spans="3:9">
      <c r="C155" s="1" t="s">
        <v>144</v>
      </c>
      <c r="D155" s="1">
        <f>D152/(D153*D154)</f>
        <v>329.68757676180536</v>
      </c>
      <c r="E155" s="1" t="s">
        <v>143</v>
      </c>
      <c r="I155" s="1">
        <f>I152/(I153*I154)</f>
        <v>329.68757676180536</v>
      </c>
    </row>
    <row r="156" spans="3:9">
      <c r="D156" s="1">
        <f>374/D155</f>
        <v>1.1344073188120454</v>
      </c>
      <c r="I156" s="1">
        <f>374/I155</f>
        <v>1.1344073188120454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I156"/>
  <sheetViews>
    <sheetView zoomScale="115" zoomScaleNormal="115" workbookViewId="0">
      <selection activeCell="D98" sqref="D98"/>
    </sheetView>
  </sheetViews>
  <sheetFormatPr defaultRowHeight="12.75" outlineLevelRow="1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2.85546875" style="1" customWidth="1"/>
    <col min="6" max="7" width="24" style="1" customWidth="1"/>
    <col min="8" max="8" width="9.140625" style="1"/>
    <col min="9" max="9" width="24" style="1" customWidth="1"/>
    <col min="10" max="16384" width="9.140625" style="1"/>
  </cols>
  <sheetData>
    <row r="1" spans="1:9">
      <c r="C1" s="133" t="s">
        <v>177</v>
      </c>
    </row>
    <row r="2" spans="1:9">
      <c r="A2" s="43" t="s">
        <v>66</v>
      </c>
      <c r="B2" s="20">
        <f>[1]!MolarMass("air")</f>
        <v>28.958600656000002</v>
      </c>
      <c r="C2" s="133" t="s">
        <v>178</v>
      </c>
    </row>
    <row r="3" spans="1:9">
      <c r="A3" s="43"/>
      <c r="B3" s="20"/>
      <c r="C3" s="131" t="s">
        <v>180</v>
      </c>
      <c r="D3" s="132">
        <v>2.63</v>
      </c>
      <c r="F3" s="132">
        <v>2.63</v>
      </c>
      <c r="G3" s="132">
        <v>2.63</v>
      </c>
      <c r="I3" s="132">
        <v>2.63</v>
      </c>
    </row>
    <row r="4" spans="1:9">
      <c r="A4" s="43" t="s">
        <v>64</v>
      </c>
      <c r="B4" s="20">
        <f>[1]!density("air","TP","SI with C",0,1/10)</f>
        <v>1.2758162153163073</v>
      </c>
      <c r="C4" s="134" t="s">
        <v>181</v>
      </c>
      <c r="D4" s="135">
        <v>3.65</v>
      </c>
      <c r="F4" s="135">
        <v>3.65</v>
      </c>
      <c r="G4" s="135">
        <v>3.65</v>
      </c>
      <c r="I4" s="135">
        <v>3.65</v>
      </c>
    </row>
    <row r="5" spans="1:9">
      <c r="C5" s="131" t="s">
        <v>182</v>
      </c>
      <c r="D5" s="132">
        <v>5.8</v>
      </c>
      <c r="F5" s="132">
        <v>5.8</v>
      </c>
      <c r="G5" s="132">
        <v>5.8</v>
      </c>
      <c r="I5" s="132">
        <v>5.8</v>
      </c>
    </row>
    <row r="6" spans="1:9">
      <c r="C6" s="1" t="s">
        <v>178</v>
      </c>
      <c r="D6" s="1">
        <f>D4^1.66</f>
        <v>8.5783972744961066</v>
      </c>
      <c r="F6" s="1">
        <f>F4^1.66</f>
        <v>8.5783972744961066</v>
      </c>
      <c r="G6" s="1">
        <f>G4^1.66</f>
        <v>8.5783972744961066</v>
      </c>
      <c r="I6" s="1">
        <f>I4^1.66</f>
        <v>8.5783972744961066</v>
      </c>
    </row>
    <row r="8" spans="1:9">
      <c r="A8" s="1">
        <f>[1]!MolarMass(C15)</f>
        <v>4.0026020000000004</v>
      </c>
    </row>
    <row r="9" spans="1:9">
      <c r="A9" s="1">
        <f>[1]!MolarMass(C16)</f>
        <v>28.013480000000001</v>
      </c>
      <c r="D9" s="1" t="s">
        <v>208</v>
      </c>
    </row>
    <row r="10" spans="1:9">
      <c r="A10" s="1">
        <f>[1]!MolarMass(C17)</f>
        <v>16.0428</v>
      </c>
      <c r="F10" s="6" t="s">
        <v>214</v>
      </c>
      <c r="G10" s="6" t="s">
        <v>214</v>
      </c>
    </row>
    <row r="11" spans="1:9" ht="38.25">
      <c r="A11" s="1">
        <f>[1]!MolarMass(C18)</f>
        <v>39.948</v>
      </c>
      <c r="D11" s="157" t="s">
        <v>217</v>
      </c>
      <c r="F11" s="48" t="s">
        <v>210</v>
      </c>
      <c r="G11" s="48" t="s">
        <v>211</v>
      </c>
      <c r="I11" s="48" t="s">
        <v>206</v>
      </c>
    </row>
    <row r="12" spans="1:9">
      <c r="A12" s="1">
        <f>[1]!MolarMass(C19)</f>
        <v>2.0158800000000001</v>
      </c>
      <c r="F12" s="155" t="s">
        <v>213</v>
      </c>
      <c r="G12" s="155" t="s">
        <v>212</v>
      </c>
    </row>
    <row r="13" spans="1:9">
      <c r="A13" s="1">
        <f>[1]!MolarMass(C20)</f>
        <v>28.958600656000002</v>
      </c>
      <c r="C13" s="7" t="s">
        <v>123</v>
      </c>
      <c r="D13" s="144" t="s">
        <v>54</v>
      </c>
      <c r="F13" s="144" t="s">
        <v>54</v>
      </c>
      <c r="G13" s="144" t="s">
        <v>54</v>
      </c>
      <c r="I13" s="144" t="s">
        <v>207</v>
      </c>
    </row>
    <row r="14" spans="1:9" hidden="1" outlineLevel="1">
      <c r="A14" s="1">
        <f>[1]!MolarMass(C21)</f>
        <v>28.010100000000001</v>
      </c>
      <c r="C14" s="32" t="s">
        <v>48</v>
      </c>
      <c r="D14" s="32" t="s">
        <v>49</v>
      </c>
      <c r="F14" s="32" t="s">
        <v>49</v>
      </c>
      <c r="G14" s="32" t="s">
        <v>49</v>
      </c>
      <c r="I14" s="32" t="s">
        <v>49</v>
      </c>
    </row>
    <row r="15" spans="1:9" hidden="1" outlineLevel="1">
      <c r="A15" s="1">
        <f>[1]!MolarMass(C22)</f>
        <v>31.998799999999999</v>
      </c>
      <c r="C15" s="33" t="s">
        <v>54</v>
      </c>
      <c r="D15" s="41">
        <v>1</v>
      </c>
      <c r="F15" s="41">
        <v>1</v>
      </c>
      <c r="G15" s="41">
        <v>1</v>
      </c>
      <c r="I15" s="41">
        <v>1</v>
      </c>
    </row>
    <row r="16" spans="1:9" hidden="1" outlineLevel="1">
      <c r="C16" s="33" t="s">
        <v>50</v>
      </c>
      <c r="D16" s="41">
        <v>0</v>
      </c>
      <c r="F16" s="41">
        <v>0</v>
      </c>
      <c r="G16" s="41">
        <v>0</v>
      </c>
      <c r="I16" s="41">
        <v>0</v>
      </c>
    </row>
    <row r="17" spans="3:9" hidden="1" outlineLevel="1">
      <c r="C17" s="33" t="s">
        <v>55</v>
      </c>
      <c r="D17" s="41">
        <v>0</v>
      </c>
      <c r="F17" s="41">
        <v>0</v>
      </c>
      <c r="G17" s="41">
        <v>0</v>
      </c>
      <c r="I17" s="41">
        <v>0</v>
      </c>
    </row>
    <row r="18" spans="3:9" hidden="1" outlineLevel="1">
      <c r="C18" s="33" t="s">
        <v>51</v>
      </c>
      <c r="D18" s="41">
        <v>0</v>
      </c>
      <c r="F18" s="41">
        <v>0</v>
      </c>
      <c r="G18" s="41">
        <v>0</v>
      </c>
      <c r="I18" s="41">
        <v>0</v>
      </c>
    </row>
    <row r="19" spans="3:9" hidden="1" outlineLevel="1">
      <c r="C19" s="33" t="s">
        <v>56</v>
      </c>
      <c r="D19" s="41">
        <v>0</v>
      </c>
      <c r="F19" s="41">
        <v>0</v>
      </c>
      <c r="G19" s="41">
        <v>0</v>
      </c>
      <c r="I19" s="41">
        <v>0</v>
      </c>
    </row>
    <row r="20" spans="3:9" hidden="1" outlineLevel="1">
      <c r="C20" s="33" t="s">
        <v>82</v>
      </c>
      <c r="D20" s="41">
        <v>0</v>
      </c>
      <c r="F20" s="41">
        <v>0</v>
      </c>
      <c r="G20" s="41">
        <v>0</v>
      </c>
      <c r="I20" s="41">
        <v>0</v>
      </c>
    </row>
    <row r="21" spans="3:9" hidden="1" outlineLevel="1">
      <c r="C21" s="33" t="s">
        <v>57</v>
      </c>
      <c r="D21" s="41">
        <v>0</v>
      </c>
      <c r="F21" s="41">
        <v>0</v>
      </c>
      <c r="G21" s="41">
        <v>0</v>
      </c>
      <c r="I21" s="41">
        <v>0</v>
      </c>
    </row>
    <row r="22" spans="3:9" hidden="1" outlineLevel="1">
      <c r="C22" s="33" t="s">
        <v>52</v>
      </c>
      <c r="D22" s="41">
        <v>0</v>
      </c>
      <c r="F22" s="41">
        <v>0</v>
      </c>
      <c r="G22" s="41">
        <v>0</v>
      </c>
      <c r="I22" s="41">
        <v>0</v>
      </c>
    </row>
    <row r="23" spans="3:9" hidden="1" outlineLevel="1">
      <c r="C23" s="34" t="s">
        <v>53</v>
      </c>
      <c r="D23" s="35">
        <f>SUM(D15:D22)</f>
        <v>1</v>
      </c>
      <c r="F23" s="35">
        <f>SUM(F15:F22)</f>
        <v>1</v>
      </c>
      <c r="G23" s="35">
        <f>SUM(G15:G22)</f>
        <v>1</v>
      </c>
      <c r="I23" s="35">
        <f>SUM(I15:I22)</f>
        <v>1</v>
      </c>
    </row>
    <row r="24" spans="3:9" collapsed="1">
      <c r="D24" s="6"/>
      <c r="F24" s="6"/>
      <c r="G24" s="6"/>
      <c r="I24" s="6"/>
    </row>
    <row r="25" spans="3:9">
      <c r="C25" s="7" t="s">
        <v>125</v>
      </c>
      <c r="D25" s="37">
        <v>7575.8548652980107</v>
      </c>
      <c r="F25" s="37">
        <v>10360</v>
      </c>
      <c r="G25" s="37">
        <v>10958</v>
      </c>
      <c r="I25" s="37">
        <v>6540</v>
      </c>
    </row>
    <row r="27" spans="3:9">
      <c r="C27" s="7" t="s">
        <v>114</v>
      </c>
      <c r="D27" s="158">
        <v>0.90080000000000005</v>
      </c>
      <c r="F27" s="45">
        <v>0.86899999999999999</v>
      </c>
      <c r="G27" s="45">
        <v>0.84399999999999997</v>
      </c>
      <c r="I27" s="45">
        <v>0.82203058218450165</v>
      </c>
    </row>
    <row r="28" spans="3:9">
      <c r="C28" s="7" t="s">
        <v>68</v>
      </c>
      <c r="D28" s="46">
        <f>D25*D27</f>
        <v>6824.3300626604487</v>
      </c>
      <c r="F28" s="46">
        <f>F25*F27</f>
        <v>9002.84</v>
      </c>
      <c r="G28" s="46">
        <f>G25*G27</f>
        <v>9248.5519999999997</v>
      </c>
      <c r="I28" s="46">
        <f>I25*I27</f>
        <v>5376.0800074866411</v>
      </c>
    </row>
    <row r="29" spans="3:9">
      <c r="C29" s="7" t="s">
        <v>128</v>
      </c>
      <c r="D29" s="56">
        <f>D28*D38*273.15/(273.15+D36)</f>
        <v>6130.8396475704722</v>
      </c>
      <c r="F29" s="56">
        <f>F28*F38*273.15/(273.15+F36)</f>
        <v>7990.3513331270306</v>
      </c>
      <c r="G29" s="56">
        <f>G28*G38*273.15/(273.15+G36)</f>
        <v>31426.559662002161</v>
      </c>
      <c r="I29" s="56">
        <f>I28*I38*273.15/(273.15+I36)</f>
        <v>4925.2934900049504</v>
      </c>
    </row>
    <row r="30" spans="3:9">
      <c r="C30" s="7" t="s">
        <v>129</v>
      </c>
      <c r="D30" s="81">
        <f>D31*3.6</f>
        <v>1079.9999999999998</v>
      </c>
      <c r="F30" s="81">
        <f>F31*3.6</f>
        <v>1407.5804589817315</v>
      </c>
      <c r="G30" s="81">
        <f>G31*3.6</f>
        <v>5528.9359687619517</v>
      </c>
      <c r="I30" s="81">
        <f>I31*3.6</f>
        <v>3732.1588780255875</v>
      </c>
    </row>
    <row r="31" spans="3:9">
      <c r="C31" s="7" t="s">
        <v>130</v>
      </c>
      <c r="D31" s="47">
        <f>D28*D101*1000/3600</f>
        <v>299.99999999999994</v>
      </c>
      <c r="F31" s="47">
        <f>F28*F101*1000/3600</f>
        <v>390.99457193936985</v>
      </c>
      <c r="G31" s="47">
        <f>G28*G101*1000/3600</f>
        <v>1535.81554687832</v>
      </c>
      <c r="I31" s="47">
        <f>I28*I101*1000/3600</f>
        <v>1036.710799451552</v>
      </c>
    </row>
    <row r="32" spans="3:9">
      <c r="C32" s="7" t="s">
        <v>2</v>
      </c>
      <c r="D32" s="42">
        <f>[1]!MolarMass(D13)</f>
        <v>4.0026020000000004</v>
      </c>
      <c r="F32" s="42">
        <f>[1]!MolarMass(F13)</f>
        <v>4.0026020000000004</v>
      </c>
      <c r="G32" s="42">
        <f>[1]!MolarMass(G13)</f>
        <v>4.0026020000000004</v>
      </c>
      <c r="I32" s="42">
        <f>[1]!MolarMass(I13)</f>
        <v>17.030259999999998</v>
      </c>
    </row>
    <row r="33" spans="1:9">
      <c r="C33" s="7" t="s">
        <v>3</v>
      </c>
      <c r="D33" s="39">
        <f>[1]!Isentropicexpansioncoef(D13,"TP","SI with C",D36,D38/10)</f>
        <v>1.6673231627049421</v>
      </c>
      <c r="F33" s="39">
        <f>[1]!Isentropicexpansioncoef(F13,"TP","SI with C",F36,F38/10)</f>
        <v>1.6673073110711398</v>
      </c>
      <c r="G33" s="39">
        <f>[1]!Isentropicexpansioncoef(G13,"TP","SI with C",G36,G38/10)</f>
        <v>1.6691171737786383</v>
      </c>
      <c r="I33" s="39">
        <f>[1]!Isentropicexpansioncoef(I13,"TP","SI with C",I36,I38/10)</f>
        <v>1.3019801225312162</v>
      </c>
    </row>
    <row r="34" spans="1:9">
      <c r="C34" s="7" t="s">
        <v>4</v>
      </c>
      <c r="D34" s="38">
        <f>[1]!IsobaricHeatCapacity(D13,"TP","SI with C",D36,D38/10)</f>
        <v>5.1931914344410677</v>
      </c>
      <c r="F34" s="38">
        <f>[1]!IsobaricHeatCapacity(F13,"TP","SI with C",F36,F38/10)</f>
        <v>5.1931775941897742</v>
      </c>
      <c r="G34" s="38">
        <f>[1]!IsobaricHeatCapacity(G13,"TP","SI with C",G36,G38/10)</f>
        <v>5.1932076768868773</v>
      </c>
      <c r="I34" s="38">
        <f>[1]!IsobaricHeatCapacity(I13,"TP","SI with C",I36,I38/10)</f>
        <v>2.1635114445215873</v>
      </c>
    </row>
    <row r="35" spans="1:9">
      <c r="C35" s="7" t="s">
        <v>5</v>
      </c>
      <c r="D35" s="8">
        <f>D39/D38</f>
        <v>3.2576505429417573</v>
      </c>
      <c r="F35" s="8">
        <f>F39/F38</f>
        <v>3.9047619047619042</v>
      </c>
      <c r="G35" s="8">
        <f>G39/G38</f>
        <v>5.2238805970149258</v>
      </c>
      <c r="I35" s="8">
        <f>I39/I38</f>
        <v>5</v>
      </c>
    </row>
    <row r="36" spans="1:9">
      <c r="C36" s="7" t="s">
        <v>6</v>
      </c>
      <c r="D36" s="74">
        <v>34.85</v>
      </c>
      <c r="F36" s="74">
        <v>50</v>
      </c>
      <c r="G36" s="74">
        <v>50</v>
      </c>
      <c r="I36" s="74">
        <v>25</v>
      </c>
    </row>
    <row r="37" spans="1:9">
      <c r="C37" s="7" t="s">
        <v>7</v>
      </c>
      <c r="D37" s="10">
        <v>1.0129999999999999</v>
      </c>
      <c r="F37" s="10">
        <v>1.05</v>
      </c>
      <c r="G37" s="10">
        <v>4.0199999999999996</v>
      </c>
      <c r="I37" s="10">
        <v>1</v>
      </c>
    </row>
    <row r="38" spans="1:9">
      <c r="C38" s="7" t="s">
        <v>7</v>
      </c>
      <c r="D38" s="40">
        <f>D37</f>
        <v>1.0129999999999999</v>
      </c>
      <c r="F38" s="40">
        <f>F37</f>
        <v>1.05</v>
      </c>
      <c r="G38" s="40">
        <f>G37</f>
        <v>4.0199999999999996</v>
      </c>
      <c r="I38" s="40">
        <f>I37</f>
        <v>1</v>
      </c>
    </row>
    <row r="39" spans="1:9">
      <c r="C39" s="7" t="s">
        <v>8</v>
      </c>
      <c r="D39" s="27">
        <v>3.3</v>
      </c>
      <c r="F39" s="27">
        <v>4.0999999999999996</v>
      </c>
      <c r="G39" s="27">
        <v>21</v>
      </c>
      <c r="I39" s="27">
        <v>5</v>
      </c>
    </row>
    <row r="40" spans="1:9">
      <c r="A40" s="130">
        <f>3.99/1.05</f>
        <v>3.8</v>
      </c>
      <c r="C40" s="7" t="s">
        <v>179</v>
      </c>
      <c r="D40" s="130">
        <f>D39/D38</f>
        <v>3.2576505429417573</v>
      </c>
      <c r="F40" s="130">
        <f>F39/F38</f>
        <v>3.9047619047619042</v>
      </c>
      <c r="G40" s="130">
        <f>G39/G38</f>
        <v>5.2238805970149258</v>
      </c>
      <c r="I40" s="130">
        <f>I39/I38</f>
        <v>5</v>
      </c>
    </row>
    <row r="41" spans="1:9">
      <c r="A41" s="130">
        <f>A40^(1/D33)</f>
        <v>2.2270665075568865</v>
      </c>
      <c r="C41" s="7" t="s">
        <v>183</v>
      </c>
      <c r="D41" s="130">
        <f>D40^(1/D33)</f>
        <v>2.0305866439912577</v>
      </c>
      <c r="F41" s="130">
        <f>F40^(1/F33)</f>
        <v>2.2637076910638667</v>
      </c>
      <c r="G41" s="130">
        <f>G40^(1/G33)</f>
        <v>2.6925481215188416</v>
      </c>
      <c r="I41" s="130">
        <f>I40^(1/I33)</f>
        <v>3.4423221973080018</v>
      </c>
    </row>
    <row r="42" spans="1:9">
      <c r="C42" s="7" t="s">
        <v>184</v>
      </c>
      <c r="D42" s="130">
        <f>D3</f>
        <v>2.63</v>
      </c>
      <c r="F42" s="130">
        <f>F3</f>
        <v>2.63</v>
      </c>
      <c r="G42" s="130">
        <f>G3</f>
        <v>2.63</v>
      </c>
      <c r="I42" s="130">
        <f>I3</f>
        <v>2.63</v>
      </c>
    </row>
    <row r="43" spans="1:9">
      <c r="C43" s="7" t="s">
        <v>185</v>
      </c>
      <c r="D43" s="130">
        <f>D42^D33</f>
        <v>5.0142033969223192</v>
      </c>
      <c r="F43" s="130">
        <f>F42^F33</f>
        <v>5.0141265384287053</v>
      </c>
      <c r="G43" s="130">
        <f>G42^G33</f>
        <v>5.0229094847170428</v>
      </c>
      <c r="I43" s="130">
        <f>I42^I33</f>
        <v>3.5218758040502589</v>
      </c>
    </row>
    <row r="44" spans="1:9">
      <c r="C44" s="7" t="s">
        <v>186</v>
      </c>
      <c r="D44" s="136">
        <f>D43/D40</f>
        <v>1.5392084972976694</v>
      </c>
      <c r="E44" s="43"/>
      <c r="F44" s="136">
        <f>F43/F40</f>
        <v>1.2841055769146685</v>
      </c>
      <c r="G44" s="136">
        <f>G43/G40</f>
        <v>0.96152838707440524</v>
      </c>
      <c r="I44" s="136">
        <f>I43/I40</f>
        <v>0.7043751608100518</v>
      </c>
    </row>
    <row r="45" spans="1:9">
      <c r="C45" s="7" t="s">
        <v>78</v>
      </c>
      <c r="D45" s="30">
        <f>(D31*8.314/D32*(D36+273.15)*LN(D39/D38)/1000)</f>
        <v>226.66881636387296</v>
      </c>
      <c r="F45" s="30">
        <f>(F31*8.314/F32*(F36+273.15)*LN(F39/F38)/1000)</f>
        <v>357.50519696268645</v>
      </c>
      <c r="G45" s="30">
        <f>(G31*8.314/G32*(G36+273.15)*LN(G39/G38)/1000)</f>
        <v>1704.3032689249571</v>
      </c>
      <c r="I45" s="30">
        <f>(I31*8.314/I32*(I36+273.15)*LN(I39/I38)/1000)</f>
        <v>242.85967281982761</v>
      </c>
    </row>
    <row r="46" spans="1:9">
      <c r="C46" s="7" t="s">
        <v>79</v>
      </c>
      <c r="D46" s="30">
        <f>D38*10^5*D28/3600*LN(D39/D38)/1000</f>
        <v>226.78752508404762</v>
      </c>
      <c r="F46" s="30">
        <f>F38*10^5*F28/3600*LN(F39/F38)/1000</f>
        <v>357.68949780685807</v>
      </c>
      <c r="G46" s="30">
        <f>G38*10^5*G28/3600*LN(G39/G38)/1000</f>
        <v>1707.3923847330336</v>
      </c>
      <c r="I46" s="30">
        <f>I38*10^5*I28/3600*LN(I39/I38)/1000</f>
        <v>240.3463051202223</v>
      </c>
    </row>
    <row r="47" spans="1:9">
      <c r="C47" s="7" t="s">
        <v>117</v>
      </c>
      <c r="D47" s="30">
        <f>(D31*8.314/D32*(D36+273.15)*D33/(D33-1)*((D39/D38)^((D33-1)/D33)-1))/1000</f>
        <v>289.78027562093109</v>
      </c>
      <c r="F47" s="30">
        <f>(F31*8.314/F32*(F36+273.15)*F33/(F33-1)*((F39/F38)^((F33-1)/F33)-1))/1000</f>
        <v>475.37337555367202</v>
      </c>
      <c r="G47" s="30">
        <f>(G31*8.314/G32*(G36+273.15)*G33/(G33-1)*((G39/G38)^((G33-1)/G33)-1))/1000</f>
        <v>2417.5819137589797</v>
      </c>
      <c r="I47" s="30">
        <f>(I31*8.314/I32*(I36+273.15)*I33/(I33-1)*((I39/I38)^((I33-1)/I33)-1))/1000</f>
        <v>294.39693809447647</v>
      </c>
    </row>
    <row r="48" spans="1:9">
      <c r="A48" s="1">
        <f>38.3</f>
        <v>38.299999999999997</v>
      </c>
      <c r="C48" s="7" t="s">
        <v>69</v>
      </c>
      <c r="D48" s="49">
        <v>0.95</v>
      </c>
      <c r="F48" s="49">
        <v>0.95</v>
      </c>
      <c r="G48" s="49">
        <v>0.95</v>
      </c>
      <c r="I48" s="49">
        <v>0.95</v>
      </c>
    </row>
    <row r="49" spans="1:9">
      <c r="A49" s="1">
        <v>35.86</v>
      </c>
      <c r="C49" s="7" t="s">
        <v>131</v>
      </c>
      <c r="D49" s="89">
        <f>D51/(3^0.5*6600*0.91)*1000</f>
        <v>39.848989752193646</v>
      </c>
      <c r="F49" s="89">
        <f>F51/(3^0.5*6600*0.91)*1000</f>
        <v>84.112805936693434</v>
      </c>
      <c r="G49" s="89">
        <f>G51/(3^0.5*6600*0.91)*1000</f>
        <v>400.66534858504161</v>
      </c>
      <c r="I49" s="89">
        <f>I51/(3^0.5*6600*0.91)*1000</f>
        <v>51.879637946435757</v>
      </c>
    </row>
    <row r="50" spans="1:9">
      <c r="A50" s="1">
        <f>A48-A49</f>
        <v>2.4399999999999977</v>
      </c>
    </row>
    <row r="51" spans="1:9">
      <c r="C51" s="7" t="s">
        <v>10</v>
      </c>
      <c r="D51" s="30">
        <f>D45/D52</f>
        <v>414.53697213583206</v>
      </c>
      <c r="F51" s="30">
        <f>F45/F52</f>
        <v>875.00004661790183</v>
      </c>
      <c r="G51" s="30">
        <f>G45/G52</f>
        <v>4168.0002799330114</v>
      </c>
      <c r="I51" s="30">
        <f>I45/I52</f>
        <v>539.68816182183912</v>
      </c>
    </row>
    <row r="52" spans="1:9">
      <c r="C52" s="104" t="s">
        <v>9</v>
      </c>
      <c r="D52" s="49">
        <v>0.54679999999999995</v>
      </c>
      <c r="E52" s="105"/>
      <c r="F52" s="49">
        <v>0.40857734618933467</v>
      </c>
      <c r="G52" s="49">
        <v>0.40890190845964841</v>
      </c>
      <c r="I52" s="49">
        <v>0.45</v>
      </c>
    </row>
    <row r="53" spans="1:9">
      <c r="C53" s="7" t="s">
        <v>118</v>
      </c>
      <c r="D53" s="64">
        <f>D47/D51</f>
        <v>0.6990456704691187</v>
      </c>
      <c r="F53" s="64">
        <f>F47/F51</f>
        <v>0.54328382883076554</v>
      </c>
      <c r="G53" s="64">
        <f>G47/G51</f>
        <v>0.58003400945017103</v>
      </c>
      <c r="I53" s="64">
        <f>I47/I51</f>
        <v>0.54549452613648819</v>
      </c>
    </row>
    <row r="54" spans="1:9">
      <c r="C54" s="7"/>
      <c r="D54" s="64"/>
      <c r="F54" s="64"/>
      <c r="G54" s="64"/>
      <c r="I54" s="64"/>
    </row>
    <row r="55" spans="1:9">
      <c r="C55" s="12" t="s">
        <v>152</v>
      </c>
      <c r="D55" s="74">
        <v>80</v>
      </c>
      <c r="F55" s="74">
        <v>85</v>
      </c>
      <c r="G55" s="74">
        <v>110</v>
      </c>
      <c r="I55" s="74">
        <v>80</v>
      </c>
    </row>
    <row r="56" spans="1:9">
      <c r="C56" s="7" t="s">
        <v>15</v>
      </c>
      <c r="D56" s="145">
        <f>D62+D57</f>
        <v>51.102604758347148</v>
      </c>
      <c r="F56" s="145">
        <f>F62+F57</f>
        <v>48</v>
      </c>
      <c r="G56" s="145">
        <f>G62+G57</f>
        <v>48</v>
      </c>
      <c r="I56" s="145">
        <f>I62+I57</f>
        <v>36.102604758347148</v>
      </c>
    </row>
    <row r="57" spans="1:9">
      <c r="C57" s="12" t="s">
        <v>174</v>
      </c>
      <c r="D57" s="147">
        <v>6.102604758347149</v>
      </c>
      <c r="F57" s="119">
        <v>3</v>
      </c>
      <c r="G57" s="119">
        <v>3</v>
      </c>
      <c r="I57" s="147">
        <v>6.102604758347149</v>
      </c>
    </row>
    <row r="58" spans="1:9">
      <c r="C58" s="12" t="s">
        <v>201</v>
      </c>
      <c r="D58" s="119">
        <v>3</v>
      </c>
      <c r="F58" s="119">
        <v>4</v>
      </c>
      <c r="G58" s="119">
        <v>4</v>
      </c>
      <c r="I58" s="119">
        <v>3</v>
      </c>
    </row>
    <row r="59" spans="1:9">
      <c r="C59" s="12" t="s">
        <v>204</v>
      </c>
      <c r="D59" s="119">
        <v>10</v>
      </c>
      <c r="F59" s="119">
        <v>10</v>
      </c>
      <c r="G59" s="119">
        <v>10</v>
      </c>
      <c r="I59" s="119">
        <v>10</v>
      </c>
    </row>
    <row r="61" spans="1:9">
      <c r="C61" s="7" t="s">
        <v>157</v>
      </c>
      <c r="D61" s="64"/>
      <c r="F61" s="64"/>
      <c r="G61" s="64"/>
      <c r="I61" s="64"/>
    </row>
    <row r="62" spans="1:9">
      <c r="C62" s="113" t="s">
        <v>155</v>
      </c>
      <c r="D62" s="74">
        <v>45</v>
      </c>
      <c r="E62" s="85"/>
      <c r="F62" s="74">
        <v>45</v>
      </c>
      <c r="G62" s="74">
        <v>45</v>
      </c>
      <c r="I62" s="74">
        <v>30</v>
      </c>
    </row>
    <row r="63" spans="1:9">
      <c r="C63" s="113" t="s">
        <v>156</v>
      </c>
      <c r="D63" s="152">
        <v>46.25335682255993</v>
      </c>
      <c r="E63" s="85"/>
      <c r="F63" s="100">
        <f>F62+F64</f>
        <v>45.916344672285355</v>
      </c>
      <c r="G63" s="100">
        <f>G62+G64</f>
        <v>46.28544635268608</v>
      </c>
      <c r="I63" s="152">
        <v>32.30556101747198</v>
      </c>
    </row>
    <row r="64" spans="1:9">
      <c r="C64" s="114" t="s">
        <v>203</v>
      </c>
      <c r="D64" s="111">
        <f>D63-D62</f>
        <v>1.2533568225599296</v>
      </c>
      <c r="E64" s="85"/>
      <c r="F64" s="152">
        <v>0.9163446722853531</v>
      </c>
      <c r="G64" s="152">
        <v>1.2854463526860782</v>
      </c>
      <c r="I64" s="111">
        <f>I63-I62</f>
        <v>2.3055610174719803</v>
      </c>
    </row>
    <row r="65" spans="3:9">
      <c r="C65" s="114" t="s">
        <v>163</v>
      </c>
      <c r="D65" s="150">
        <f>D69*1000/((D63-D62)*4.18)/1000*3600/1000</f>
        <v>30.936115065578793</v>
      </c>
      <c r="E65" s="85"/>
      <c r="F65" s="150">
        <f>F69*1000/((F63-F62)*4.18)/1000*3600/1000</f>
        <v>70.611101579614555</v>
      </c>
      <c r="G65" s="150">
        <f>G69*1000/((G63-G62)*4.18)/1000*3600/1000</f>
        <v>331.31317177674708</v>
      </c>
      <c r="I65" s="150">
        <f>I69*1000/((I63-I62)*4.18)/1000*3600/1000</f>
        <v>36.779444800060332</v>
      </c>
    </row>
    <row r="66" spans="3:9">
      <c r="C66" s="114" t="s">
        <v>169</v>
      </c>
      <c r="D66" s="111">
        <f>D55</f>
        <v>80</v>
      </c>
      <c r="E66" s="85"/>
      <c r="F66" s="111">
        <f>F55</f>
        <v>85</v>
      </c>
      <c r="G66" s="111">
        <f>G55</f>
        <v>110</v>
      </c>
      <c r="I66" s="111">
        <f>I55</f>
        <v>80</v>
      </c>
    </row>
    <row r="67" spans="3:9">
      <c r="C67" s="114" t="s">
        <v>170</v>
      </c>
      <c r="D67" s="111">
        <f>D56</f>
        <v>51.102604758347148</v>
      </c>
      <c r="E67" s="85"/>
      <c r="F67" s="111">
        <f>F56</f>
        <v>48</v>
      </c>
      <c r="G67" s="111">
        <f>G56</f>
        <v>48</v>
      </c>
      <c r="I67" s="111">
        <f>I56</f>
        <v>36.102604758347148</v>
      </c>
    </row>
    <row r="68" spans="3:9">
      <c r="C68" s="112" t="s">
        <v>133</v>
      </c>
      <c r="D68" s="100">
        <f>((D67-D62)-(D66-D63))/LN((D67-D62)/(D66-D63))</f>
        <v>16.164542131497182</v>
      </c>
      <c r="E68" s="85"/>
      <c r="F68" s="100">
        <f>((F67-F62)-(F66-F63))/LN((F67-F62)/(F66-F63))</f>
        <v>14.05623731568544</v>
      </c>
      <c r="G68" s="100">
        <f>((G67-G62)-(G66-G63))/LN((G67-G62)/(G66-G63))</f>
        <v>19.868623388817117</v>
      </c>
      <c r="I68" s="100">
        <f>((I67-I62)-(I66-I63))/LN((I67-I62)/(I66-I63))</f>
        <v>20.228516151570823</v>
      </c>
    </row>
    <row r="69" spans="3:9">
      <c r="C69" s="115" t="s">
        <v>205</v>
      </c>
      <c r="D69" s="30">
        <f>D31*D34*(D66-D67)/1000</f>
        <v>45.020911633982891</v>
      </c>
      <c r="E69" s="85"/>
      <c r="F69" s="30">
        <f>F31*F34*(F66-F67)/1000</f>
        <v>75.128657266478214</v>
      </c>
      <c r="G69" s="30">
        <f>G31*G34*(G66-G67)/1000</f>
        <v>494.50016347650399</v>
      </c>
      <c r="I69" s="30">
        <f>I31*I34*(I66-I67)/1000</f>
        <v>98.459034014632564</v>
      </c>
    </row>
    <row r="70" spans="3:9">
      <c r="C70" s="115" t="s">
        <v>161</v>
      </c>
      <c r="D70" s="18">
        <f>D69/D68</f>
        <v>2.785164668924216</v>
      </c>
      <c r="E70" s="85"/>
      <c r="F70" s="18">
        <f>F69/F68</f>
        <v>5.3448626100415719</v>
      </c>
      <c r="G70" s="18">
        <f>G69/G68</f>
        <v>24.888496490140788</v>
      </c>
      <c r="I70" s="18">
        <f>I69/I68</f>
        <v>4.8673384284287629</v>
      </c>
    </row>
    <row r="71" spans="3:9">
      <c r="C71" s="115" t="s">
        <v>165</v>
      </c>
      <c r="D71" s="103">
        <v>0</v>
      </c>
      <c r="E71" s="85"/>
      <c r="F71" s="103">
        <v>0</v>
      </c>
      <c r="G71" s="103">
        <v>0</v>
      </c>
      <c r="I71" s="103">
        <v>0</v>
      </c>
    </row>
    <row r="72" spans="3:9">
      <c r="C72" s="112" t="s">
        <v>162</v>
      </c>
      <c r="D72" s="92">
        <f>D70*D68</f>
        <v>45.020911633982891</v>
      </c>
      <c r="E72" s="85"/>
      <c r="F72" s="92">
        <f>F70*F68</f>
        <v>75.128657266478214</v>
      </c>
      <c r="G72" s="92">
        <f>G70*G68</f>
        <v>494.50016347650399</v>
      </c>
      <c r="I72" s="92">
        <f>I70*I68</f>
        <v>98.459034014632579</v>
      </c>
    </row>
    <row r="73" spans="3:9">
      <c r="C73" s="115" t="s">
        <v>164</v>
      </c>
      <c r="E73" s="124"/>
    </row>
    <row r="75" spans="3:9">
      <c r="C75" s="7" t="s">
        <v>158</v>
      </c>
      <c r="D75" s="74"/>
      <c r="E75" s="85"/>
      <c r="F75" s="74"/>
      <c r="G75" s="74"/>
      <c r="I75" s="74"/>
    </row>
    <row r="76" spans="3:9">
      <c r="C76" s="113" t="s">
        <v>155</v>
      </c>
      <c r="D76" s="111">
        <f>D63</f>
        <v>46.25335682255993</v>
      </c>
      <c r="E76" s="85"/>
      <c r="F76" s="111">
        <f>F63</f>
        <v>45.916344672285355</v>
      </c>
      <c r="G76" s="111">
        <f>G63</f>
        <v>46.28544635268608</v>
      </c>
      <c r="I76" s="111">
        <f>I63</f>
        <v>32.30556101747198</v>
      </c>
    </row>
    <row r="77" spans="3:9">
      <c r="C77" s="113" t="s">
        <v>156</v>
      </c>
      <c r="D77" s="100">
        <f>D62+D59</f>
        <v>55</v>
      </c>
      <c r="E77" s="85"/>
      <c r="F77" s="100">
        <f>F62+F59</f>
        <v>55</v>
      </c>
      <c r="G77" s="100">
        <f>G62+G59</f>
        <v>55</v>
      </c>
      <c r="I77" s="100">
        <f>I62+I59</f>
        <v>40</v>
      </c>
    </row>
    <row r="78" spans="3:9">
      <c r="C78" s="114" t="s">
        <v>163</v>
      </c>
      <c r="D78" s="150">
        <f>D86*1000/((D77-D76)*4.18)/1000*3600/1000</f>
        <v>30.93612667338272</v>
      </c>
      <c r="E78" s="85"/>
      <c r="F78" s="150">
        <f>F86*1000/((F77-F76)*4.18)/1000*3600/1000</f>
        <v>70.611093565179516</v>
      </c>
      <c r="G78" s="150">
        <f>G86*1000/((G77-G76)*4.18)/1000*3600/1000</f>
        <v>331.31316291976009</v>
      </c>
      <c r="I78" s="150">
        <f>I86*1000/((I77-I76)*4.18)/1000*3600/1000</f>
        <v>36.779443166237122</v>
      </c>
    </row>
    <row r="79" spans="3:9">
      <c r="C79" s="114" t="s">
        <v>159</v>
      </c>
      <c r="D79" s="111">
        <f>D55</f>
        <v>80</v>
      </c>
      <c r="E79" s="85"/>
      <c r="F79" s="111">
        <f>F55</f>
        <v>85</v>
      </c>
      <c r="G79" s="111">
        <f>G55</f>
        <v>110</v>
      </c>
      <c r="I79" s="111">
        <f>I55</f>
        <v>80</v>
      </c>
    </row>
    <row r="80" spans="3:9">
      <c r="C80" s="114" t="s">
        <v>192</v>
      </c>
      <c r="D80" s="74">
        <f>D76+D58</f>
        <v>49.25335682255993</v>
      </c>
      <c r="E80" s="85"/>
      <c r="F80" s="74">
        <f>F76+F58</f>
        <v>49.916344672285355</v>
      </c>
      <c r="G80" s="74">
        <f>G76+G58</f>
        <v>50.28544635268608</v>
      </c>
      <c r="I80" s="74">
        <f>I76+I58</f>
        <v>35.30556101747198</v>
      </c>
    </row>
    <row r="81" spans="3:9">
      <c r="C81" s="114" t="s">
        <v>194</v>
      </c>
      <c r="D81" s="74">
        <f>D76+D58</f>
        <v>49.25335682255993</v>
      </c>
      <c r="E81" s="85"/>
      <c r="F81" s="74">
        <f>F76+F58</f>
        <v>49.916344672285355</v>
      </c>
      <c r="G81" s="74">
        <f>G76+G58</f>
        <v>50.28544635268608</v>
      </c>
      <c r="I81" s="74">
        <f>I76+I58</f>
        <v>35.30556101747198</v>
      </c>
    </row>
    <row r="82" spans="3:9">
      <c r="C82" s="114" t="s">
        <v>21</v>
      </c>
      <c r="D82" s="86">
        <v>1.95</v>
      </c>
      <c r="E82" s="85"/>
      <c r="F82" s="83">
        <v>2.17</v>
      </c>
      <c r="G82" s="83">
        <v>2.17</v>
      </c>
      <c r="I82" s="86">
        <v>1.95</v>
      </c>
    </row>
    <row r="83" spans="3:9">
      <c r="C83" s="114" t="s">
        <v>22</v>
      </c>
      <c r="D83" s="16">
        <v>980</v>
      </c>
      <c r="E83" s="85"/>
      <c r="F83" s="87">
        <v>835</v>
      </c>
      <c r="G83" s="87">
        <v>835</v>
      </c>
      <c r="I83" s="16">
        <v>980</v>
      </c>
    </row>
    <row r="84" spans="3:9">
      <c r="C84" s="7" t="s">
        <v>26</v>
      </c>
      <c r="D84" s="13">
        <f>(273.15+D36)*(D39/D38)^((D33-1)/D33)-273.15</f>
        <v>220.97142554719824</v>
      </c>
      <c r="F84" s="13">
        <f>(273.15+F36)*(F39/F38)^((F33-1)/F33)-273.15</f>
        <v>284.2646408146868</v>
      </c>
      <c r="G84" s="13">
        <f>(273.15+G36)*(G39/G38)^((G33-1)/G33)-273.15</f>
        <v>353.80147449143203</v>
      </c>
      <c r="I84" s="13">
        <f>(273.15+I36)*(I39/I38)^((I33-1)/I33)-273.15</f>
        <v>159.91521428058377</v>
      </c>
    </row>
    <row r="85" spans="3:9">
      <c r="C85" s="7" t="s">
        <v>74</v>
      </c>
      <c r="D85" s="13">
        <f>D84-D55</f>
        <v>140.97142554719824</v>
      </c>
      <c r="F85" s="13">
        <f>F84-F55</f>
        <v>199.2646408146868</v>
      </c>
      <c r="G85" s="13">
        <f>G84-G55</f>
        <v>243.80147449143203</v>
      </c>
      <c r="I85" s="13">
        <f>I84-I55</f>
        <v>79.915214280583768</v>
      </c>
    </row>
    <row r="86" spans="3:9">
      <c r="C86" s="7" t="s">
        <v>135</v>
      </c>
      <c r="D86" s="92">
        <f>D34*D85*D31/1000/D53</f>
        <v>314.18187562539129</v>
      </c>
      <c r="E86" s="25"/>
      <c r="F86" s="92">
        <f>F34*F85*F31/1000/F53</f>
        <v>744.74460432306626</v>
      </c>
      <c r="G86" s="92">
        <f>G34*G85*G31/1000/G53</f>
        <v>3352.4137969779486</v>
      </c>
      <c r="I86" s="92">
        <f>I34*I85*I31/1000/I53</f>
        <v>328.59117156710801</v>
      </c>
    </row>
    <row r="87" spans="3:9">
      <c r="C87" s="7" t="s">
        <v>190</v>
      </c>
      <c r="D87" s="141">
        <f>D86/(D82*(D55-D81))*3600</f>
        <v>18864.761097017352</v>
      </c>
      <c r="F87" s="141">
        <f>F86/(F82*(F55-F81))*3600</f>
        <v>35216.427450978903</v>
      </c>
      <c r="G87" s="141">
        <f>G86/(G82*(G55-G81))*3600</f>
        <v>93136.560566120359</v>
      </c>
      <c r="I87" s="141">
        <f>I86/(I82*(I55-I81))*3600</f>
        <v>13572.826262299859</v>
      </c>
    </row>
    <row r="88" spans="3:9">
      <c r="C88" s="7" t="s">
        <v>124</v>
      </c>
      <c r="D88" s="22">
        <f>D87/D83</f>
        <v>19.249756221446276</v>
      </c>
      <c r="F88" s="22">
        <f>F87/F83</f>
        <v>42.175362216741199</v>
      </c>
      <c r="G88" s="22">
        <f>G87/G83</f>
        <v>111.54079109715013</v>
      </c>
      <c r="I88" s="22">
        <f>I87/I83</f>
        <v>13.849822716632509</v>
      </c>
    </row>
    <row r="89" spans="3:9">
      <c r="C89" s="7" t="s">
        <v>195</v>
      </c>
      <c r="D89" s="103">
        <v>0</v>
      </c>
      <c r="F89" s="103">
        <v>0</v>
      </c>
      <c r="G89" s="103">
        <v>0</v>
      </c>
      <c r="I89" s="103">
        <v>0</v>
      </c>
    </row>
    <row r="90" spans="3:9">
      <c r="C90" s="7" t="s">
        <v>124</v>
      </c>
      <c r="D90" s="153">
        <f>D88*1000/60</f>
        <v>320.82927035743796</v>
      </c>
      <c r="F90" s="153">
        <f>F88*1000/60</f>
        <v>702.9227036123533</v>
      </c>
      <c r="G90" s="153">
        <f>G88*1000/60</f>
        <v>1859.0131849525023</v>
      </c>
      <c r="H90" s="1">
        <f>F90/D90</f>
        <v>2.1909556532333307</v>
      </c>
      <c r="I90" s="153">
        <f>I88*1000/60</f>
        <v>230.8303786105418</v>
      </c>
    </row>
    <row r="91" spans="3:9">
      <c r="C91" s="7" t="s">
        <v>172</v>
      </c>
      <c r="D91" s="93">
        <v>0.92255515242259667</v>
      </c>
      <c r="E91" s="106"/>
      <c r="F91" s="93">
        <v>0.92255515242259667</v>
      </c>
      <c r="G91" s="93">
        <v>0.92255515242259667</v>
      </c>
      <c r="I91" s="93">
        <v>0.92255515242259667</v>
      </c>
    </row>
    <row r="92" spans="3:9">
      <c r="C92" s="7" t="s">
        <v>171</v>
      </c>
      <c r="D92" s="18">
        <f>((D79-D77)-(D81-D76))/LN((D79-D77)/(D81-D76))*D91</f>
        <v>9.5724955915960042</v>
      </c>
      <c r="F92" s="18">
        <f>((F79-F77)-(F81-F76))/LN((F79-F77)/(F81-F76))*F91</f>
        <v>11.904510399975537</v>
      </c>
      <c r="G92" s="18">
        <f>((G79-G77)-(G81-G76))/LN((G79-G77)/(G81-G76))*G91</f>
        <v>17.951017108448408</v>
      </c>
      <c r="I92" s="18">
        <f>((I79-I77)-(I81-I76))/LN((I79-I77)/(I81-I76))*I91</f>
        <v>13.177999974284882</v>
      </c>
    </row>
    <row r="93" spans="3:9">
      <c r="C93" s="7" t="s">
        <v>150</v>
      </c>
      <c r="D93" s="18">
        <f>D86/D92</f>
        <v>32.821313169495888</v>
      </c>
      <c r="F93" s="18">
        <f>F86/F92</f>
        <v>62.559868428070473</v>
      </c>
      <c r="G93" s="18">
        <f>G86/G92</f>
        <v>186.75341774367647</v>
      </c>
      <c r="H93" s="1">
        <f>F93/D93</f>
        <v>1.9060745103341443</v>
      </c>
      <c r="I93" s="18">
        <f>I86/I92</f>
        <v>24.93482866962438</v>
      </c>
    </row>
    <row r="94" spans="3:9">
      <c r="C94" s="115" t="s">
        <v>165</v>
      </c>
      <c r="D94" s="103">
        <v>0</v>
      </c>
      <c r="F94" s="103">
        <v>0</v>
      </c>
      <c r="G94" s="103">
        <v>0</v>
      </c>
      <c r="I94" s="103">
        <v>0</v>
      </c>
    </row>
    <row r="95" spans="3:9">
      <c r="C95" s="7" t="s">
        <v>148</v>
      </c>
      <c r="D95" s="92">
        <f>D93*D92</f>
        <v>314.18187562539129</v>
      </c>
      <c r="F95" s="92">
        <f>F93*F92</f>
        <v>744.74460432306626</v>
      </c>
      <c r="G95" s="92">
        <f>G93*G92</f>
        <v>3352.4137969779486</v>
      </c>
      <c r="I95" s="92">
        <f>I93*I92</f>
        <v>328.59117156710801</v>
      </c>
    </row>
    <row r="96" spans="3:9">
      <c r="C96" s="115" t="s">
        <v>164</v>
      </c>
      <c r="E96" s="122"/>
    </row>
    <row r="97" spans="3:9">
      <c r="C97" s="1" t="s">
        <v>218</v>
      </c>
      <c r="D97" s="1">
        <f>49.6*0.227</f>
        <v>11.2592</v>
      </c>
    </row>
    <row r="98" spans="3:9">
      <c r="C98" s="1" t="s">
        <v>202</v>
      </c>
      <c r="D98" s="151">
        <f>D65-D78</f>
        <v>-1.16078039269496E-5</v>
      </c>
      <c r="F98" s="151">
        <f>F65-F78</f>
        <v>8.0144350391719854E-6</v>
      </c>
      <c r="G98" s="151">
        <f>G65-G78</f>
        <v>8.85698699448767E-6</v>
      </c>
      <c r="I98" s="151">
        <f>I65-I78</f>
        <v>1.6338232100565619E-6</v>
      </c>
    </row>
    <row r="99" spans="3:9">
      <c r="C99" s="43" t="s">
        <v>104</v>
      </c>
      <c r="D99" s="75">
        <f>D30/D102</f>
        <v>2174.5794313701022</v>
      </c>
      <c r="F99" s="75">
        <f>F30/F102</f>
        <v>2279.5582805351096</v>
      </c>
      <c r="G99" s="75">
        <f>G30/G102</f>
        <v>1763.2190330292399</v>
      </c>
      <c r="I99" s="75">
        <f>I30/I102</f>
        <v>1058.4331707053725</v>
      </c>
    </row>
    <row r="100" spans="3:9">
      <c r="C100" s="43" t="s">
        <v>105</v>
      </c>
      <c r="D100" s="63">
        <f>D88/(D99+D160)</f>
        <v>8.8521743302418226E-3</v>
      </c>
      <c r="F100" s="63">
        <f>F88/(F99+F160)</f>
        <v>1.8501550312124873E-2</v>
      </c>
      <c r="G100" s="63">
        <f>G88/(G99+G160)</f>
        <v>6.3259747659098933E-2</v>
      </c>
      <c r="I100" s="63">
        <f>I88/(I99+I160)</f>
        <v>1.3085212274103768E-2</v>
      </c>
    </row>
    <row r="101" spans="3:9">
      <c r="C101" s="43" t="s">
        <v>119</v>
      </c>
      <c r="D101" s="1">
        <f>[1]!density(D13,"TP","SI with C",D36,D38/10)</f>
        <v>0.15825729266954072</v>
      </c>
      <c r="F101" s="1">
        <f>[1]!density(F13,"TP","SI with C",F36,F38/10)</f>
        <v>0.1563484921404503</v>
      </c>
      <c r="G101" s="1">
        <f>[1]!density(G13,"TP","SI with C",G36,G38/10)</f>
        <v>0.59781638993454889</v>
      </c>
      <c r="I101" s="1">
        <f>[1]!density(I13,"TP","SI with C",I36,I38/10)</f>
        <v>0.69421565021879217</v>
      </c>
    </row>
    <row r="102" spans="3:9">
      <c r="C102" s="43" t="s">
        <v>120</v>
      </c>
      <c r="D102" s="1">
        <f>[1]!density(D13,"TP","SI with C",D63,D39/10)</f>
        <v>0.49664775837576175</v>
      </c>
      <c r="F102" s="1">
        <f>[1]!density(F13,"TP","SI with C",F63,F39/10)</f>
        <v>0.61747947880995269</v>
      </c>
      <c r="G102" s="1">
        <f>[1]!density(G13,"TP","SI with C",G63,G39/10)</f>
        <v>3.1357056980397648</v>
      </c>
      <c r="I102" s="1">
        <f>[1]!density(I13,"TP","SI with C",I63,I39/10)</f>
        <v>3.5261166990244281</v>
      </c>
    </row>
    <row r="103" spans="3:9">
      <c r="C103" s="43" t="s">
        <v>126</v>
      </c>
      <c r="D103" s="1">
        <f>[1]!density("helium","TP","SI with C",0,1/10)</f>
        <v>0.1761481440000498</v>
      </c>
      <c r="F103" s="1">
        <f>[1]!density("helium","TP","SI with C",0,1/10)</f>
        <v>0.1761481440000498</v>
      </c>
      <c r="G103" s="1">
        <f>[1]!density("helium","TP","SI with C",0,1/10)</f>
        <v>0.1761481440000498</v>
      </c>
      <c r="I103" s="1">
        <f>[1]!density("helium","TP","SI with C",0,1/10)</f>
        <v>0.1761481440000498</v>
      </c>
    </row>
    <row r="106" spans="3:9">
      <c r="C106" s="12" t="s">
        <v>166</v>
      </c>
      <c r="D106" s="119">
        <f>D77-D62</f>
        <v>10</v>
      </c>
      <c r="F106" s="119">
        <f>F77-F62</f>
        <v>10</v>
      </c>
      <c r="G106" s="119">
        <f>G77-G62</f>
        <v>10</v>
      </c>
      <c r="I106" s="119">
        <f>I77-I62</f>
        <v>10</v>
      </c>
    </row>
    <row r="107" spans="3:9">
      <c r="C107" s="7" t="s">
        <v>17</v>
      </c>
      <c r="D107" s="28">
        <f>D51/(D106*4.18)*3.6</f>
        <v>35.701748796387449</v>
      </c>
      <c r="F107" s="28">
        <f>F51/(F106*4.18)*3.6*0.9</f>
        <v>67.82297012062206</v>
      </c>
      <c r="G107" s="28">
        <f>G51/(G106*4.18)*3.6*0.9</f>
        <v>323.06987815748704</v>
      </c>
      <c r="H107" s="1">
        <f>F78/F107</f>
        <v>1.0411088373098203</v>
      </c>
      <c r="I107" s="28">
        <f>I51/(I106*4.18)*3.6</f>
        <v>46.48032015690481</v>
      </c>
    </row>
    <row r="108" spans="3:9">
      <c r="F108" s="153">
        <f>F107*1000/60</f>
        <v>1130.3828353437011</v>
      </c>
      <c r="G108" s="153">
        <f>G107*1000/60</f>
        <v>5384.4979692914503</v>
      </c>
    </row>
    <row r="109" spans="3:9">
      <c r="C109" s="1" t="s">
        <v>167</v>
      </c>
      <c r="D109" s="97">
        <f>D86+D72</f>
        <v>359.20278725937419</v>
      </c>
      <c r="E109" s="97"/>
      <c r="F109" s="97">
        <f>F86+F72</f>
        <v>819.87326158954443</v>
      </c>
      <c r="G109" s="97">
        <f>G86+G72</f>
        <v>3846.9139604544525</v>
      </c>
      <c r="I109" s="97">
        <f>I86+I72</f>
        <v>427.05020558174056</v>
      </c>
    </row>
    <row r="110" spans="3:9">
      <c r="C110" s="1" t="s">
        <v>168</v>
      </c>
      <c r="D110" s="97">
        <f>D51</f>
        <v>414.53697213583206</v>
      </c>
      <c r="F110" s="97">
        <f>F51</f>
        <v>875.00004661790183</v>
      </c>
      <c r="G110" s="97">
        <f>G51</f>
        <v>4168.0002799330114</v>
      </c>
      <c r="I110" s="97">
        <f>I51</f>
        <v>539.68816182183912</v>
      </c>
    </row>
    <row r="111" spans="3:9">
      <c r="D111" s="97">
        <f>D109-D110</f>
        <v>-55.334184876457869</v>
      </c>
      <c r="F111" s="97">
        <f>F109-F110</f>
        <v>-55.126785028357403</v>
      </c>
      <c r="G111" s="97">
        <f>G109-G110</f>
        <v>-321.08631947855883</v>
      </c>
      <c r="I111" s="97">
        <f>I109-I110</f>
        <v>-112.63795624009856</v>
      </c>
    </row>
    <row r="114" spans="2:9">
      <c r="B114" s="99"/>
      <c r="C114" s="7"/>
      <c r="D114" s="9"/>
      <c r="E114" s="85"/>
      <c r="F114" s="9"/>
      <c r="G114" s="9"/>
      <c r="I114" s="9"/>
    </row>
    <row r="115" spans="2:9">
      <c r="B115" s="99"/>
      <c r="E115" s="85"/>
    </row>
    <row r="132" spans="3:9">
      <c r="C132" s="1" t="s">
        <v>137</v>
      </c>
    </row>
    <row r="133" spans="3:9">
      <c r="C133" s="1" t="s">
        <v>153</v>
      </c>
    </row>
    <row r="141" spans="3:9">
      <c r="C141" s="17" t="s">
        <v>23</v>
      </c>
      <c r="D141" s="18">
        <f>D142/D83*10^6</f>
        <v>11.288071981352864</v>
      </c>
      <c r="F141" s="18">
        <f>F142/F83*10^6</f>
        <v>11.708581486437197</v>
      </c>
      <c r="G141" s="18">
        <f>G142/G83*10^6</f>
        <v>7.1034278817186189</v>
      </c>
      <c r="I141" s="18">
        <f>I142/I83*10^6</f>
        <v>11.288071981352864</v>
      </c>
    </row>
    <row r="142" spans="3:9">
      <c r="C142" s="17" t="s">
        <v>24</v>
      </c>
      <c r="D142" s="19">
        <f>[2]!mu_("BREOXB35",D39,D55+273)</f>
        <v>1.1062310541725807E-2</v>
      </c>
      <c r="F142" s="19">
        <f>[2]!mu_("BREOXB35",F39,F55+273)</f>
        <v>9.77666554117506E-3</v>
      </c>
      <c r="G142" s="19">
        <f>[2]!mu_("BREOXB35",G39,G55+273)</f>
        <v>5.9313622812350465E-3</v>
      </c>
      <c r="I142" s="19">
        <f>[2]!mu_("BREOXB35",I39,I55+273)</f>
        <v>1.1062310541725807E-2</v>
      </c>
    </row>
    <row r="145" spans="3:9">
      <c r="D145" s="97">
        <f>D86-D95</f>
        <v>0</v>
      </c>
      <c r="F145" s="97">
        <f>F86-F95</f>
        <v>0</v>
      </c>
      <c r="G145" s="97">
        <f>G86-G95</f>
        <v>0</v>
      </c>
      <c r="I145" s="97">
        <f>I86-I95</f>
        <v>0</v>
      </c>
    </row>
    <row r="146" spans="3:9">
      <c r="D146" s="1">
        <f>D93/429.82</f>
        <v>7.6360600180298471E-2</v>
      </c>
      <c r="F146" s="1">
        <f>F93/429.82</f>
        <v>0.14554899359748377</v>
      </c>
      <c r="G146" s="1">
        <f>G93/429.82</f>
        <v>0.43449215425917004</v>
      </c>
      <c r="I146" s="1">
        <f>I93/429.82</f>
        <v>5.8012257851250248E-2</v>
      </c>
    </row>
    <row r="147" spans="3:9">
      <c r="C147" s="1" t="s">
        <v>136</v>
      </c>
      <c r="D147" s="1">
        <v>0.14510000000000001</v>
      </c>
      <c r="F147" s="1">
        <v>0.14510000000000001</v>
      </c>
      <c r="G147" s="1">
        <v>0.14510000000000001</v>
      </c>
      <c r="I147" s="1">
        <v>0.14510000000000001</v>
      </c>
    </row>
    <row r="148" spans="3:9">
      <c r="D148" s="1">
        <v>0.62909999999999999</v>
      </c>
      <c r="F148" s="1">
        <v>0.62909999999999999</v>
      </c>
      <c r="G148" s="1">
        <v>0.62909999999999999</v>
      </c>
      <c r="I148" s="1">
        <v>0.62909999999999999</v>
      </c>
    </row>
    <row r="149" spans="3:9">
      <c r="D149" s="1">
        <f>1/(1/D147+1/D148)</f>
        <v>0.11790546370446912</v>
      </c>
      <c r="F149" s="1">
        <f>1/(1/F147+1/F148)</f>
        <v>0.11790546370446912</v>
      </c>
      <c r="G149" s="1">
        <f>1/(1/G147+1/G148)</f>
        <v>0.11790546370446912</v>
      </c>
      <c r="I149" s="1">
        <f>1/(1/I147+1/I148)</f>
        <v>0.11790546370446912</v>
      </c>
    </row>
    <row r="150" spans="3:9">
      <c r="C150"/>
    </row>
    <row r="151" spans="3:9">
      <c r="C151"/>
    </row>
    <row r="152" spans="3:9" ht="15">
      <c r="C152" s="65" t="s">
        <v>137</v>
      </c>
      <c r="D152" s="1">
        <f>2895.06*10^3</f>
        <v>2895060</v>
      </c>
      <c r="E152" s="1" t="s">
        <v>142</v>
      </c>
      <c r="F152" s="1">
        <f>2895.06*10^3</f>
        <v>2895060</v>
      </c>
      <c r="G152" s="1">
        <f>2895.06*10^3</f>
        <v>2895060</v>
      </c>
      <c r="I152" s="1">
        <f>2895.06*10^3</f>
        <v>2895060</v>
      </c>
    </row>
    <row r="153" spans="3:9">
      <c r="C153" s="1" t="s">
        <v>133</v>
      </c>
      <c r="D153" s="1">
        <f>20.43</f>
        <v>20.43</v>
      </c>
      <c r="F153" s="1">
        <f>20.43</f>
        <v>20.43</v>
      </c>
      <c r="G153" s="1">
        <f>20.43</f>
        <v>20.43</v>
      </c>
      <c r="I153" s="1">
        <f>20.43</f>
        <v>20.43</v>
      </c>
    </row>
    <row r="154" spans="3:9">
      <c r="C154" s="1" t="s">
        <v>145</v>
      </c>
      <c r="D154" s="1">
        <v>429.82</v>
      </c>
      <c r="E154" s="1" t="s">
        <v>146</v>
      </c>
      <c r="F154" s="1">
        <v>429.82</v>
      </c>
      <c r="G154" s="1">
        <v>429.82</v>
      </c>
      <c r="I154" s="1">
        <v>429.82</v>
      </c>
    </row>
    <row r="155" spans="3:9">
      <c r="C155" s="1" t="s">
        <v>144</v>
      </c>
      <c r="D155" s="1">
        <f>D152/(D153*D154)</f>
        <v>329.68757676180536</v>
      </c>
      <c r="E155" s="1" t="s">
        <v>143</v>
      </c>
      <c r="F155" s="1">
        <f>F152/(F153*F154)</f>
        <v>329.68757676180536</v>
      </c>
      <c r="G155" s="1">
        <f>G152/(G153*G154)</f>
        <v>329.68757676180536</v>
      </c>
      <c r="I155" s="1">
        <f>I152/(I153*I154)</f>
        <v>329.68757676180536</v>
      </c>
    </row>
    <row r="156" spans="3:9">
      <c r="D156" s="1">
        <f>374/D155</f>
        <v>1.1344073188120454</v>
      </c>
      <c r="F156" s="1">
        <f>374/F155</f>
        <v>1.1344073188120454</v>
      </c>
      <c r="G156" s="1">
        <f>374/G155</f>
        <v>1.1344073188120454</v>
      </c>
      <c r="I156" s="1">
        <f>374/I155</f>
        <v>1.1344073188120454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56"/>
  <sheetViews>
    <sheetView zoomScaleNormal="100" workbookViewId="0">
      <selection activeCell="I28" sqref="I28"/>
    </sheetView>
  </sheetViews>
  <sheetFormatPr defaultRowHeight="12.75" outlineLevelRow="1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2.85546875" style="1" customWidth="1"/>
    <col min="6" max="7" width="24" style="1" customWidth="1"/>
    <col min="8" max="8" width="9.140625" style="1"/>
    <col min="9" max="9" width="24" style="1" customWidth="1"/>
    <col min="10" max="16384" width="9.140625" style="1"/>
  </cols>
  <sheetData>
    <row r="1" spans="1:9">
      <c r="C1" s="133" t="s">
        <v>177</v>
      </c>
    </row>
    <row r="2" spans="1:9">
      <c r="A2" s="43" t="s">
        <v>66</v>
      </c>
      <c r="B2" s="20">
        <f>[1]!MolarMass("air")</f>
        <v>28.958600656000002</v>
      </c>
      <c r="C2" s="133" t="s">
        <v>178</v>
      </c>
    </row>
    <row r="3" spans="1:9">
      <c r="A3" s="43"/>
      <c r="B3" s="20"/>
      <c r="C3" s="131" t="s">
        <v>180</v>
      </c>
      <c r="D3" s="132">
        <v>2.63</v>
      </c>
      <c r="F3" s="132">
        <v>2.63</v>
      </c>
      <c r="G3" s="132">
        <v>2.63</v>
      </c>
      <c r="I3" s="132">
        <v>2.63</v>
      </c>
    </row>
    <row r="4" spans="1:9">
      <c r="A4" s="43" t="s">
        <v>64</v>
      </c>
      <c r="B4" s="20">
        <f>[1]!density("air","TP","SI with C",0,1/10)</f>
        <v>1.2758162153163073</v>
      </c>
      <c r="C4" s="134" t="s">
        <v>181</v>
      </c>
      <c r="D4" s="135">
        <v>3.65</v>
      </c>
      <c r="F4" s="135">
        <v>3.65</v>
      </c>
      <c r="G4" s="135">
        <v>3.65</v>
      </c>
      <c r="I4" s="135">
        <v>3.65</v>
      </c>
    </row>
    <row r="5" spans="1:9">
      <c r="C5" s="131" t="s">
        <v>182</v>
      </c>
      <c r="D5" s="132">
        <v>5.8</v>
      </c>
      <c r="F5" s="132">
        <v>5.8</v>
      </c>
      <c r="G5" s="132">
        <v>5.8</v>
      </c>
      <c r="I5" s="132">
        <v>5.8</v>
      </c>
    </row>
    <row r="6" spans="1:9">
      <c r="C6" s="1" t="s">
        <v>178</v>
      </c>
      <c r="D6" s="1">
        <f>D4^1.66</f>
        <v>8.5783972744961066</v>
      </c>
      <c r="F6" s="1">
        <f>F4^1.66</f>
        <v>8.5783972744961066</v>
      </c>
      <c r="G6" s="1">
        <f>G4^1.66</f>
        <v>8.5783972744961066</v>
      </c>
      <c r="I6" s="1">
        <f>I4^1.66</f>
        <v>8.5783972744961066</v>
      </c>
    </row>
    <row r="8" spans="1:9">
      <c r="A8" s="1">
        <f>[1]!MolarMass(C15)</f>
        <v>4.0026020000000004</v>
      </c>
    </row>
    <row r="9" spans="1:9">
      <c r="A9" s="1">
        <f>[1]!MolarMass(C16)</f>
        <v>28.013480000000001</v>
      </c>
      <c r="D9" s="1" t="s">
        <v>208</v>
      </c>
    </row>
    <row r="10" spans="1:9">
      <c r="A10" s="1">
        <f>[1]!MolarMass(C17)</f>
        <v>16.0428</v>
      </c>
      <c r="F10" s="6" t="s">
        <v>214</v>
      </c>
      <c r="G10" s="6" t="s">
        <v>214</v>
      </c>
    </row>
    <row r="11" spans="1:9">
      <c r="A11" s="1">
        <f>[1]!MolarMass(C18)</f>
        <v>39.948</v>
      </c>
      <c r="D11" s="48" t="s">
        <v>215</v>
      </c>
      <c r="F11" s="48" t="s">
        <v>216</v>
      </c>
      <c r="G11" s="48" t="s">
        <v>211</v>
      </c>
      <c r="I11" s="48" t="s">
        <v>206</v>
      </c>
    </row>
    <row r="12" spans="1:9">
      <c r="A12" s="1">
        <f>[1]!MolarMass(C19)</f>
        <v>2.0158800000000001</v>
      </c>
      <c r="F12" s="155" t="s">
        <v>213</v>
      </c>
      <c r="G12" s="155" t="s">
        <v>212</v>
      </c>
    </row>
    <row r="13" spans="1:9">
      <c r="A13" s="1">
        <f>[1]!MolarMass(C20)</f>
        <v>28.958600656000002</v>
      </c>
      <c r="C13" s="7" t="s">
        <v>123</v>
      </c>
      <c r="D13" s="144" t="s">
        <v>54</v>
      </c>
      <c r="F13" s="144" t="s">
        <v>54</v>
      </c>
      <c r="G13" s="144" t="s">
        <v>54</v>
      </c>
      <c r="I13" s="144" t="s">
        <v>207</v>
      </c>
    </row>
    <row r="14" spans="1:9" hidden="1" outlineLevel="1">
      <c r="A14" s="1">
        <f>[1]!MolarMass(C21)</f>
        <v>28.010100000000001</v>
      </c>
      <c r="C14" s="32" t="s">
        <v>48</v>
      </c>
      <c r="D14" s="32" t="s">
        <v>49</v>
      </c>
      <c r="F14" s="32" t="s">
        <v>49</v>
      </c>
      <c r="G14" s="32" t="s">
        <v>49</v>
      </c>
      <c r="I14" s="32" t="s">
        <v>49</v>
      </c>
    </row>
    <row r="15" spans="1:9" hidden="1" outlineLevel="1">
      <c r="A15" s="1">
        <f>[1]!MolarMass(C22)</f>
        <v>31.998799999999999</v>
      </c>
      <c r="C15" s="33" t="s">
        <v>54</v>
      </c>
      <c r="D15" s="41">
        <v>1</v>
      </c>
      <c r="F15" s="41">
        <v>1</v>
      </c>
      <c r="G15" s="41">
        <v>1</v>
      </c>
      <c r="I15" s="41">
        <v>1</v>
      </c>
    </row>
    <row r="16" spans="1:9" hidden="1" outlineLevel="1">
      <c r="C16" s="33" t="s">
        <v>50</v>
      </c>
      <c r="D16" s="41">
        <v>0</v>
      </c>
      <c r="F16" s="41">
        <v>0</v>
      </c>
      <c r="G16" s="41">
        <v>0</v>
      </c>
      <c r="I16" s="41">
        <v>0</v>
      </c>
    </row>
    <row r="17" spans="1:9" hidden="1" outlineLevel="1">
      <c r="C17" s="33" t="s">
        <v>55</v>
      </c>
      <c r="D17" s="41">
        <v>0</v>
      </c>
      <c r="F17" s="41">
        <v>0</v>
      </c>
      <c r="G17" s="41">
        <v>0</v>
      </c>
      <c r="I17" s="41">
        <v>0</v>
      </c>
    </row>
    <row r="18" spans="1:9" hidden="1" outlineLevel="1">
      <c r="C18" s="33" t="s">
        <v>51</v>
      </c>
      <c r="D18" s="41">
        <v>0</v>
      </c>
      <c r="F18" s="41">
        <v>0</v>
      </c>
      <c r="G18" s="41">
        <v>0</v>
      </c>
      <c r="I18" s="41">
        <v>0</v>
      </c>
    </row>
    <row r="19" spans="1:9" hidden="1" outlineLevel="1">
      <c r="C19" s="33" t="s">
        <v>56</v>
      </c>
      <c r="D19" s="41">
        <v>0</v>
      </c>
      <c r="F19" s="41">
        <v>0</v>
      </c>
      <c r="G19" s="41">
        <v>0</v>
      </c>
      <c r="I19" s="41">
        <v>0</v>
      </c>
    </row>
    <row r="20" spans="1:9" hidden="1" outlineLevel="1">
      <c r="C20" s="33" t="s">
        <v>82</v>
      </c>
      <c r="D20" s="41">
        <v>0</v>
      </c>
      <c r="F20" s="41">
        <v>0</v>
      </c>
      <c r="G20" s="41">
        <v>0</v>
      </c>
      <c r="I20" s="41">
        <v>0</v>
      </c>
    </row>
    <row r="21" spans="1:9" hidden="1" outlineLevel="1">
      <c r="C21" s="33" t="s">
        <v>57</v>
      </c>
      <c r="D21" s="41">
        <v>0</v>
      </c>
      <c r="F21" s="41">
        <v>0</v>
      </c>
      <c r="G21" s="41">
        <v>0</v>
      </c>
      <c r="I21" s="41">
        <v>0</v>
      </c>
    </row>
    <row r="22" spans="1:9" hidden="1" outlineLevel="1">
      <c r="C22" s="33" t="s">
        <v>52</v>
      </c>
      <c r="D22" s="41">
        <v>0</v>
      </c>
      <c r="F22" s="41">
        <v>0</v>
      </c>
      <c r="G22" s="41">
        <v>0</v>
      </c>
      <c r="I22" s="41">
        <v>0</v>
      </c>
    </row>
    <row r="23" spans="1:9" hidden="1" outlineLevel="1">
      <c r="C23" s="34" t="s">
        <v>53</v>
      </c>
      <c r="D23" s="35">
        <f>SUM(D15:D22)</f>
        <v>1</v>
      </c>
      <c r="F23" s="35">
        <f>SUM(F15:F22)</f>
        <v>1</v>
      </c>
      <c r="G23" s="35">
        <f>SUM(G15:G22)</f>
        <v>1</v>
      </c>
      <c r="I23" s="35">
        <f>SUM(I15:I22)</f>
        <v>1</v>
      </c>
    </row>
    <row r="24" spans="1:9" collapsed="1">
      <c r="D24" s="6"/>
      <c r="F24" s="6"/>
      <c r="G24" s="6"/>
      <c r="I24" s="6"/>
    </row>
    <row r="25" spans="1:9">
      <c r="C25" s="7" t="s">
        <v>125</v>
      </c>
      <c r="D25" s="37">
        <v>4651.6133114952381</v>
      </c>
      <c r="F25" s="37">
        <f>D25</f>
        <v>4651.6133114952381</v>
      </c>
      <c r="G25" s="37">
        <v>10958</v>
      </c>
      <c r="I25" s="37">
        <v>6540</v>
      </c>
    </row>
    <row r="26" spans="1:9">
      <c r="A26" s="1">
        <f>7200</f>
        <v>7200</v>
      </c>
    </row>
    <row r="27" spans="1:9">
      <c r="A27" s="1">
        <f>A26/F28</f>
        <v>1.9543561517556287</v>
      </c>
      <c r="C27" s="7" t="s">
        <v>114</v>
      </c>
      <c r="D27" s="45">
        <v>0.79200000000000004</v>
      </c>
      <c r="F27" s="45">
        <f>D27</f>
        <v>0.79200000000000004</v>
      </c>
      <c r="G27" s="45">
        <v>0.84399999999999997</v>
      </c>
      <c r="I27" s="45">
        <v>0.82203058218450165</v>
      </c>
    </row>
    <row r="28" spans="1:9">
      <c r="C28" s="7" t="s">
        <v>68</v>
      </c>
      <c r="D28" s="46">
        <f>D25*D27</f>
        <v>3684.077742704229</v>
      </c>
      <c r="F28" s="46">
        <f>F25*F27</f>
        <v>3684.077742704229</v>
      </c>
      <c r="G28" s="46">
        <f>G25*G27</f>
        <v>9248.5519999999997</v>
      </c>
      <c r="I28" s="46">
        <f>I25*I27</f>
        <v>5376.0800074866411</v>
      </c>
    </row>
    <row r="29" spans="1:9">
      <c r="C29" s="7" t="s">
        <v>128</v>
      </c>
      <c r="D29" s="56">
        <f>D28*D38*273.15/(273.15+D36)</f>
        <v>3269.7543778141517</v>
      </c>
      <c r="F29" s="56">
        <f>F28*F38*273.15/(273.15+F36)</f>
        <v>1557.0258941972152</v>
      </c>
      <c r="G29" s="56">
        <f>G28*G38*273.15/(273.15+G36)</f>
        <v>31426.559662002161</v>
      </c>
      <c r="I29" s="56">
        <f>I28*I38*273.15/(273.15+I36)</f>
        <v>4925.2934900049504</v>
      </c>
    </row>
    <row r="30" spans="1:9">
      <c r="C30" s="7" t="s">
        <v>129</v>
      </c>
      <c r="D30" s="81">
        <f>D31*3.6</f>
        <v>576</v>
      </c>
      <c r="F30" s="81">
        <f>F31*3.6</f>
        <v>274.35160235010341</v>
      </c>
      <c r="G30" s="81">
        <f>G31*3.6</f>
        <v>5528.9359687619517</v>
      </c>
      <c r="I30" s="81">
        <f>I31*3.6</f>
        <v>3732.1588780255875</v>
      </c>
    </row>
    <row r="31" spans="1:9">
      <c r="C31" s="7" t="s">
        <v>130</v>
      </c>
      <c r="D31" s="47">
        <f>D28*D101*1000/3600</f>
        <v>160</v>
      </c>
      <c r="F31" s="47">
        <f>F28*F101*1000/3600</f>
        <v>76.208778430584275</v>
      </c>
      <c r="G31" s="47">
        <f>G28*G101*1000/3600</f>
        <v>1535.81554687832</v>
      </c>
      <c r="I31" s="47">
        <f>I28*I101*1000/3600</f>
        <v>1036.710799451552</v>
      </c>
    </row>
    <row r="32" spans="1:9">
      <c r="C32" s="7" t="s">
        <v>2</v>
      </c>
      <c r="D32" s="42">
        <f>[1]!MolarMass(D13)</f>
        <v>4.0026020000000004</v>
      </c>
      <c r="F32" s="42">
        <f>[1]!MolarMass(F13)</f>
        <v>4.0026020000000004</v>
      </c>
      <c r="G32" s="42">
        <f>[1]!MolarMass(G13)</f>
        <v>4.0026020000000004</v>
      </c>
      <c r="I32" s="42">
        <f>[1]!MolarMass(I13)</f>
        <v>17.030259999999998</v>
      </c>
    </row>
    <row r="33" spans="1:9">
      <c r="C33" s="7" t="s">
        <v>3</v>
      </c>
      <c r="D33" s="39">
        <f>[1]!Isentropicexpansioncoef(D13,"TP","SI with C",D36,D38/10)</f>
        <v>1.6673073110711398</v>
      </c>
      <c r="F33" s="39">
        <f>[1]!Isentropicexpansioncoef(F13,"TP","SI with C",F36,F38/10)</f>
        <v>1.6669717871379039</v>
      </c>
      <c r="G33" s="39">
        <f>[1]!Isentropicexpansioncoef(G13,"TP","SI with C",G36,G38/10)</f>
        <v>1.6691171737786383</v>
      </c>
      <c r="I33" s="39">
        <f>[1]!Isentropicexpansioncoef(I13,"TP","SI with C",I36,I38/10)</f>
        <v>1.3019801225312162</v>
      </c>
    </row>
    <row r="34" spans="1:9">
      <c r="C34" s="7" t="s">
        <v>4</v>
      </c>
      <c r="D34" s="38">
        <f>[1]!IsobaricHeatCapacity(D13,"TP","SI with C",D36,D38/10)</f>
        <v>5.1931775941897742</v>
      </c>
      <c r="F34" s="38">
        <f>[1]!IsobaricHeatCapacity(F13,"TP","SI with C",F36,F38/10)</f>
        <v>5.1931719713870041</v>
      </c>
      <c r="G34" s="38">
        <f>[1]!IsobaricHeatCapacity(G13,"TP","SI with C",G36,G38/10)</f>
        <v>5.1932076768868773</v>
      </c>
      <c r="I34" s="38">
        <f>[1]!IsobaricHeatCapacity(I13,"TP","SI with C",I36,I38/10)</f>
        <v>2.1635114445215873</v>
      </c>
    </row>
    <row r="35" spans="1:9">
      <c r="C35" s="7" t="s">
        <v>5</v>
      </c>
      <c r="D35" s="8">
        <f>D39/D38</f>
        <v>14.285714285714285</v>
      </c>
      <c r="F35" s="8">
        <f>F39/F38</f>
        <v>10</v>
      </c>
      <c r="G35" s="8">
        <f>G39/G38</f>
        <v>5.2238805970149258</v>
      </c>
      <c r="I35" s="8">
        <f>I39/I38</f>
        <v>5</v>
      </c>
    </row>
    <row r="36" spans="1:9">
      <c r="C36" s="7" t="s">
        <v>6</v>
      </c>
      <c r="D36" s="74">
        <v>50</v>
      </c>
      <c r="F36" s="74">
        <v>50</v>
      </c>
      <c r="G36" s="74">
        <v>50</v>
      </c>
      <c r="I36" s="74">
        <v>25</v>
      </c>
    </row>
    <row r="37" spans="1:9">
      <c r="C37" s="7" t="s">
        <v>7</v>
      </c>
      <c r="D37" s="10">
        <v>1.05</v>
      </c>
      <c r="F37" s="10">
        <v>0.5</v>
      </c>
      <c r="G37" s="10">
        <v>4.0199999999999996</v>
      </c>
      <c r="I37" s="10">
        <v>1</v>
      </c>
    </row>
    <row r="38" spans="1:9">
      <c r="C38" s="7" t="s">
        <v>7</v>
      </c>
      <c r="D38" s="40">
        <f>D37</f>
        <v>1.05</v>
      </c>
      <c r="F38" s="40">
        <f>F37</f>
        <v>0.5</v>
      </c>
      <c r="G38" s="40">
        <f>G37</f>
        <v>4.0199999999999996</v>
      </c>
      <c r="I38" s="40">
        <f>I37</f>
        <v>1</v>
      </c>
    </row>
    <row r="39" spans="1:9">
      <c r="C39" s="7" t="s">
        <v>8</v>
      </c>
      <c r="D39" s="27">
        <v>15</v>
      </c>
      <c r="F39" s="27">
        <v>5</v>
      </c>
      <c r="G39" s="27">
        <v>21</v>
      </c>
      <c r="I39" s="27">
        <v>5</v>
      </c>
    </row>
    <row r="40" spans="1:9">
      <c r="A40" s="130">
        <f>3.99/1.05</f>
        <v>3.8</v>
      </c>
      <c r="C40" s="7" t="s">
        <v>179</v>
      </c>
      <c r="D40" s="130">
        <f>D39/D38</f>
        <v>14.285714285714285</v>
      </c>
      <c r="F40" s="130">
        <f>F39/F38</f>
        <v>10</v>
      </c>
      <c r="G40" s="130">
        <f>G39/G38</f>
        <v>5.2238805970149258</v>
      </c>
      <c r="I40" s="130">
        <f>I39/I38</f>
        <v>5</v>
      </c>
    </row>
    <row r="41" spans="1:9">
      <c r="A41" s="130">
        <f>A40^(1/D33)</f>
        <v>2.2270834608880401</v>
      </c>
      <c r="C41" s="7" t="s">
        <v>183</v>
      </c>
      <c r="D41" s="130">
        <f>D40^(1/D33)</f>
        <v>4.9280479061272038</v>
      </c>
      <c r="F41" s="130">
        <f>F40^(1/F33)</f>
        <v>3.9800651097084425</v>
      </c>
      <c r="G41" s="130">
        <f>G40^(1/G33)</f>
        <v>2.6925481215188416</v>
      </c>
      <c r="I41" s="130">
        <f>I40^(1/I33)</f>
        <v>3.4423221973080018</v>
      </c>
    </row>
    <row r="42" spans="1:9">
      <c r="C42" s="7" t="s">
        <v>184</v>
      </c>
      <c r="D42" s="130">
        <f>D3</f>
        <v>2.63</v>
      </c>
      <c r="F42" s="130">
        <f>F3</f>
        <v>2.63</v>
      </c>
      <c r="G42" s="130">
        <f>G3</f>
        <v>2.63</v>
      </c>
      <c r="I42" s="130">
        <f>I3</f>
        <v>2.63</v>
      </c>
    </row>
    <row r="43" spans="1:9">
      <c r="C43" s="7" t="s">
        <v>185</v>
      </c>
      <c r="D43" s="130">
        <f>D42^D33</f>
        <v>5.0141265384287053</v>
      </c>
      <c r="F43" s="130">
        <f>F42^F33</f>
        <v>5.0124999878877743</v>
      </c>
      <c r="G43" s="130">
        <f>G42^G33</f>
        <v>5.0229094847170428</v>
      </c>
      <c r="I43" s="130">
        <f>I42^I33</f>
        <v>3.5218758040502589</v>
      </c>
    </row>
    <row r="44" spans="1:9">
      <c r="C44" s="7" t="s">
        <v>186</v>
      </c>
      <c r="D44" s="136">
        <f>D43/D40</f>
        <v>0.35098885769000937</v>
      </c>
      <c r="E44" s="43"/>
      <c r="F44" s="136">
        <f>F43/F40</f>
        <v>0.50124999878877741</v>
      </c>
      <c r="G44" s="136">
        <f>G43/G40</f>
        <v>0.96152838707440524</v>
      </c>
      <c r="I44" s="136">
        <f>I43/I40</f>
        <v>0.7043751608100518</v>
      </c>
    </row>
    <row r="45" spans="1:9">
      <c r="C45" s="7" t="s">
        <v>78</v>
      </c>
      <c r="D45" s="30">
        <f>(D31*8.314/D32*(D36+273.15)*LN(D39/D38)/1000)</f>
        <v>285.59629041676999</v>
      </c>
      <c r="F45" s="30">
        <f>(F31*8.314/F32*(F36+273.15)*LN(F39/F38)/1000)</f>
        <v>117.78567126834898</v>
      </c>
      <c r="G45" s="30">
        <f>(G31*8.314/G32*(G36+273.15)*LN(G39/G38)/1000)</f>
        <v>1704.3032689249571</v>
      </c>
      <c r="I45" s="30">
        <f>(I31*8.314/I32*(I36+273.15)*LN(I39/I38)/1000)</f>
        <v>242.85967281982761</v>
      </c>
    </row>
    <row r="46" spans="1:9">
      <c r="C46" s="7" t="s">
        <v>79</v>
      </c>
      <c r="D46" s="30">
        <f>D38*10^5*D28/3600*LN(D39/D38)/1000</f>
        <v>285.74352082870047</v>
      </c>
      <c r="F46" s="30">
        <f>F38*10^5*F28/3600*LN(F39/F38)/1000</f>
        <v>117.81809016363765</v>
      </c>
      <c r="G46" s="30">
        <f>G38*10^5*G28/3600*LN(G39/G38)/1000</f>
        <v>1707.3923847330336</v>
      </c>
      <c r="I46" s="30">
        <f>I38*10^5*I28/3600*LN(I39/I38)/1000</f>
        <v>240.3463051202223</v>
      </c>
    </row>
    <row r="47" spans="1:9">
      <c r="C47" s="7" t="s">
        <v>117</v>
      </c>
      <c r="D47" s="30">
        <f>(D31*8.314/D32*(D36+273.15)*D33/(D33-1)*((D39/D38)^((D33-1)/D33)-1))/1000</f>
        <v>509.53516668275449</v>
      </c>
      <c r="F47" s="30">
        <f>(F31*8.314/F32*(F36+273.15)*F33/(F33-1)*((F39/F38)^((F33-1)/F33)-1))/1000</f>
        <v>193.374487613865</v>
      </c>
      <c r="G47" s="30">
        <f>(G31*8.314/G32*(G36+273.15)*G33/(G33-1)*((G39/G38)^((G33-1)/G33)-1))/1000</f>
        <v>2417.5819137589797</v>
      </c>
      <c r="I47" s="30">
        <f>(I31*8.314/I32*(I36+273.15)*I33/(I33-1)*((I39/I38)^((I33-1)/I33)-1))/1000</f>
        <v>294.39693809447647</v>
      </c>
    </row>
    <row r="48" spans="1:9">
      <c r="A48" s="1">
        <f>38.3</f>
        <v>38.299999999999997</v>
      </c>
      <c r="C48" s="7" t="s">
        <v>69</v>
      </c>
      <c r="D48" s="49">
        <v>0.95</v>
      </c>
      <c r="F48" s="49">
        <v>0.95</v>
      </c>
      <c r="G48" s="49">
        <v>0.95</v>
      </c>
      <c r="I48" s="49">
        <v>0.95</v>
      </c>
    </row>
    <row r="49" spans="1:9">
      <c r="A49" s="1">
        <v>35.86</v>
      </c>
      <c r="C49" s="7" t="s">
        <v>131</v>
      </c>
      <c r="D49" s="89">
        <f>D51/(3^0.5*6600*0.91)*1000</f>
        <v>61.009026215148076</v>
      </c>
      <c r="F49" s="89">
        <f>F51/(3^0.5*6600*0.91)*1000</f>
        <v>27.712277733830671</v>
      </c>
      <c r="G49" s="89">
        <f>G51/(3^0.5*6600*0.91)*1000</f>
        <v>400.66534858504161</v>
      </c>
      <c r="I49" s="89">
        <f>I51/(3^0.5*6600*0.91)*1000</f>
        <v>51.879637946435757</v>
      </c>
    </row>
    <row r="50" spans="1:9">
      <c r="A50" s="1">
        <f>A48-A49</f>
        <v>2.4399999999999977</v>
      </c>
    </row>
    <row r="51" spans="1:9">
      <c r="C51" s="7" t="s">
        <v>10</v>
      </c>
      <c r="D51" s="30">
        <f>D45/D52</f>
        <v>634.65842314837778</v>
      </c>
      <c r="F51" s="30">
        <f>F45/F52</f>
        <v>288.2824326088973</v>
      </c>
      <c r="G51" s="30">
        <f>G45/G52</f>
        <v>4168.0002799330114</v>
      </c>
      <c r="I51" s="30">
        <f>I45/I52</f>
        <v>539.68816182183912</v>
      </c>
    </row>
    <row r="52" spans="1:9">
      <c r="C52" s="104" t="s">
        <v>9</v>
      </c>
      <c r="D52" s="49">
        <v>0.45</v>
      </c>
      <c r="E52" s="105"/>
      <c r="F52" s="49">
        <v>0.40857734618933467</v>
      </c>
      <c r="G52" s="49">
        <v>0.40890190845964841</v>
      </c>
      <c r="I52" s="49">
        <v>0.45</v>
      </c>
    </row>
    <row r="53" spans="1:9">
      <c r="C53" s="7" t="s">
        <v>118</v>
      </c>
      <c r="D53" s="64">
        <f>D47/D51</f>
        <v>0.80284945113480277</v>
      </c>
      <c r="F53" s="64">
        <f>F47/F51</f>
        <v>0.67078137874675636</v>
      </c>
      <c r="G53" s="64">
        <f>G47/G51</f>
        <v>0.58003400945017103</v>
      </c>
      <c r="I53" s="64">
        <f>I47/I51</f>
        <v>0.54549452613648819</v>
      </c>
    </row>
    <row r="54" spans="1:9">
      <c r="C54" s="7"/>
      <c r="D54" s="64"/>
      <c r="F54" s="64"/>
      <c r="G54" s="64"/>
      <c r="I54" s="64"/>
    </row>
    <row r="55" spans="1:9">
      <c r="C55" s="12" t="s">
        <v>152</v>
      </c>
      <c r="D55" s="74">
        <v>80</v>
      </c>
      <c r="F55" s="74">
        <v>85</v>
      </c>
      <c r="G55" s="74">
        <v>110</v>
      </c>
      <c r="I55" s="74">
        <v>80</v>
      </c>
    </row>
    <row r="56" spans="1:9">
      <c r="C56" s="7" t="s">
        <v>15</v>
      </c>
      <c r="D56" s="145">
        <f>D62+D57</f>
        <v>36.102604758347148</v>
      </c>
      <c r="F56" s="145">
        <f>F62+F57</f>
        <v>48</v>
      </c>
      <c r="G56" s="145">
        <f>G62+G57</f>
        <v>48</v>
      </c>
      <c r="I56" s="145">
        <f>I62+I57</f>
        <v>36.102604758347148</v>
      </c>
    </row>
    <row r="57" spans="1:9">
      <c r="C57" s="12" t="s">
        <v>174</v>
      </c>
      <c r="D57" s="147">
        <v>6.102604758347149</v>
      </c>
      <c r="F57" s="119">
        <v>3</v>
      </c>
      <c r="G57" s="119">
        <v>3</v>
      </c>
      <c r="I57" s="147">
        <v>6.102604758347149</v>
      </c>
    </row>
    <row r="58" spans="1:9">
      <c r="C58" s="12" t="s">
        <v>201</v>
      </c>
      <c r="D58" s="119">
        <v>3</v>
      </c>
      <c r="F58" s="119">
        <v>4</v>
      </c>
      <c r="G58" s="119">
        <v>4</v>
      </c>
      <c r="I58" s="119">
        <v>3</v>
      </c>
    </row>
    <row r="59" spans="1:9">
      <c r="C59" s="12" t="s">
        <v>204</v>
      </c>
      <c r="D59" s="119">
        <v>10</v>
      </c>
      <c r="F59" s="119">
        <v>10</v>
      </c>
      <c r="G59" s="119">
        <v>10</v>
      </c>
      <c r="I59" s="119">
        <v>10</v>
      </c>
    </row>
    <row r="61" spans="1:9">
      <c r="C61" s="7" t="s">
        <v>157</v>
      </c>
      <c r="D61" s="64"/>
      <c r="F61" s="64"/>
      <c r="G61" s="64"/>
      <c r="I61" s="64"/>
    </row>
    <row r="62" spans="1:9">
      <c r="C62" s="113" t="s">
        <v>155</v>
      </c>
      <c r="D62" s="74">
        <v>30</v>
      </c>
      <c r="E62" s="85"/>
      <c r="F62" s="74">
        <v>45</v>
      </c>
      <c r="G62" s="74">
        <v>45</v>
      </c>
      <c r="I62" s="74">
        <v>30</v>
      </c>
    </row>
    <row r="63" spans="1:9">
      <c r="C63" s="113" t="s">
        <v>156</v>
      </c>
      <c r="D63" s="152">
        <v>31.734477507015132</v>
      </c>
      <c r="E63" s="85"/>
      <c r="F63" s="100">
        <f>F62+F64</f>
        <v>45.916344672285355</v>
      </c>
      <c r="G63" s="100">
        <f>G62+G64</f>
        <v>46.28544635268608</v>
      </c>
      <c r="I63" s="152">
        <v>32.30556101747198</v>
      </c>
    </row>
    <row r="64" spans="1:9">
      <c r="C64" s="114" t="s">
        <v>203</v>
      </c>
      <c r="D64" s="111">
        <f>D63-D62</f>
        <v>1.7344775070151321</v>
      </c>
      <c r="E64" s="85"/>
      <c r="F64" s="152">
        <v>0.9163446722853531</v>
      </c>
      <c r="G64" s="152">
        <v>1.2854463526860782</v>
      </c>
      <c r="I64" s="111">
        <f>I63-I62</f>
        <v>2.3055610174719803</v>
      </c>
    </row>
    <row r="65" spans="3:9">
      <c r="C65" s="114" t="s">
        <v>163</v>
      </c>
      <c r="D65" s="150">
        <f>D69*1000/((D63-D62)*4.18)/1000*3600/1000</f>
        <v>18.111292944269497</v>
      </c>
      <c r="E65" s="85"/>
      <c r="F65" s="150">
        <f>F69*1000/((F63-F62)*4.18)/1000*3600/1000</f>
        <v>13.762799677664345</v>
      </c>
      <c r="G65" s="150">
        <f>G69*1000/((G63-G62)*4.18)/1000*3600/1000</f>
        <v>331.31317177674708</v>
      </c>
      <c r="I65" s="150">
        <f>I69*1000/((I63-I62)*4.18)/1000*3600/1000</f>
        <v>36.779444800060332</v>
      </c>
    </row>
    <row r="66" spans="3:9">
      <c r="C66" s="114" t="s">
        <v>169</v>
      </c>
      <c r="D66" s="111">
        <f>D55</f>
        <v>80</v>
      </c>
      <c r="E66" s="85"/>
      <c r="F66" s="111">
        <f>F55</f>
        <v>85</v>
      </c>
      <c r="G66" s="111">
        <f>G55</f>
        <v>110</v>
      </c>
      <c r="I66" s="111">
        <f>I55</f>
        <v>80</v>
      </c>
    </row>
    <row r="67" spans="3:9">
      <c r="C67" s="114" t="s">
        <v>170</v>
      </c>
      <c r="D67" s="111">
        <f>D56</f>
        <v>36.102604758347148</v>
      </c>
      <c r="E67" s="85"/>
      <c r="F67" s="111">
        <f>F56</f>
        <v>48</v>
      </c>
      <c r="G67" s="111">
        <f>G56</f>
        <v>48</v>
      </c>
      <c r="I67" s="111">
        <f>I56</f>
        <v>36.102604758347148</v>
      </c>
    </row>
    <row r="68" spans="3:9">
      <c r="C68" s="112" t="s">
        <v>133</v>
      </c>
      <c r="D68" s="100">
        <f>((D67-D62)-(D66-D63))/LN((D67-D62)/(D66-D63))</f>
        <v>20.388240384140463</v>
      </c>
      <c r="E68" s="85"/>
      <c r="F68" s="100">
        <f>((F67-F62)-(F66-F63))/LN((F67-F62)/(F66-F63))</f>
        <v>14.05623731568544</v>
      </c>
      <c r="G68" s="100">
        <f>((G67-G62)-(G66-G63))/LN((G67-G62)/(G66-G63))</f>
        <v>19.868623388817117</v>
      </c>
      <c r="I68" s="100">
        <f>((I67-I62)-(I66-I63))/LN((I67-I62)/(I66-I63))</f>
        <v>20.228516151570823</v>
      </c>
    </row>
    <row r="69" spans="3:9">
      <c r="C69" s="115" t="s">
        <v>205</v>
      </c>
      <c r="D69" s="30">
        <f>D31*D34*(D66-D67)/1000</f>
        <v>36.474715105959106</v>
      </c>
      <c r="E69" s="85"/>
      <c r="F69" s="30">
        <f>F31*F34*(F66-F67)/1000</f>
        <v>14.643315808416052</v>
      </c>
      <c r="G69" s="30">
        <f>G31*G34*(G66-G67)/1000</f>
        <v>494.50016347650399</v>
      </c>
      <c r="I69" s="30">
        <f>I31*I34*(I66-I67)/1000</f>
        <v>98.459034014632564</v>
      </c>
    </row>
    <row r="70" spans="3:9">
      <c r="C70" s="115" t="s">
        <v>161</v>
      </c>
      <c r="D70" s="18">
        <f>D69/D68</f>
        <v>1.789007507206553</v>
      </c>
      <c r="E70" s="85"/>
      <c r="F70" s="18">
        <f>F69/F68</f>
        <v>1.0417664044470485</v>
      </c>
      <c r="G70" s="18">
        <f>G69/G68</f>
        <v>24.888496490140788</v>
      </c>
      <c r="I70" s="18">
        <f>I69/I68</f>
        <v>4.8673384284287629</v>
      </c>
    </row>
    <row r="71" spans="3:9">
      <c r="C71" s="115" t="s">
        <v>165</v>
      </c>
      <c r="D71" s="103">
        <v>0</v>
      </c>
      <c r="E71" s="85"/>
      <c r="F71" s="103">
        <v>0</v>
      </c>
      <c r="G71" s="103">
        <v>0</v>
      </c>
      <c r="I71" s="103">
        <v>0</v>
      </c>
    </row>
    <row r="72" spans="3:9">
      <c r="C72" s="112" t="s">
        <v>162</v>
      </c>
      <c r="D72" s="92">
        <f>D70*D68</f>
        <v>36.474715105959106</v>
      </c>
      <c r="E72" s="85"/>
      <c r="F72" s="92">
        <f>F70*F68</f>
        <v>14.643315808416054</v>
      </c>
      <c r="G72" s="92">
        <f>G70*G68</f>
        <v>494.50016347650399</v>
      </c>
      <c r="I72" s="92">
        <f>I70*I68</f>
        <v>98.459034014632579</v>
      </c>
    </row>
    <row r="73" spans="3:9">
      <c r="C73" s="115" t="s">
        <v>164</v>
      </c>
      <c r="E73" s="124"/>
    </row>
    <row r="75" spans="3:9">
      <c r="C75" s="7" t="s">
        <v>158</v>
      </c>
      <c r="D75" s="74"/>
      <c r="E75" s="85"/>
      <c r="F75" s="74"/>
      <c r="G75" s="74"/>
      <c r="I75" s="74"/>
    </row>
    <row r="76" spans="3:9">
      <c r="C76" s="113" t="s">
        <v>155</v>
      </c>
      <c r="D76" s="111">
        <f>D63</f>
        <v>31.734477507015132</v>
      </c>
      <c r="E76" s="85"/>
      <c r="F76" s="111">
        <f>F63</f>
        <v>45.916344672285355</v>
      </c>
      <c r="G76" s="111">
        <f>G63</f>
        <v>46.28544635268608</v>
      </c>
      <c r="I76" s="111">
        <f>I63</f>
        <v>32.30556101747198</v>
      </c>
    </row>
    <row r="77" spans="3:9">
      <c r="C77" s="113" t="s">
        <v>156</v>
      </c>
      <c r="D77" s="100">
        <f>D62+D59</f>
        <v>40</v>
      </c>
      <c r="E77" s="85"/>
      <c r="F77" s="100">
        <f>F62+F59</f>
        <v>55</v>
      </c>
      <c r="G77" s="100">
        <f>G62+G59</f>
        <v>55</v>
      </c>
      <c r="I77" s="100">
        <f>I62+I59</f>
        <v>40</v>
      </c>
    </row>
    <row r="78" spans="3:9">
      <c r="C78" s="114" t="s">
        <v>163</v>
      </c>
      <c r="D78" s="150">
        <f>D86*1000/((D77-D76)*4.18)/1000*3600/1000</f>
        <v>62.936453561086267</v>
      </c>
      <c r="E78" s="85"/>
      <c r="F78" s="150">
        <f>F86*1000/((F77-F76)*4.18)/1000*3600/1000</f>
        <v>25.383960910545088</v>
      </c>
      <c r="G78" s="150">
        <f>G86*1000/((G77-G76)*4.18)/1000*3600/1000</f>
        <v>331.31316291976009</v>
      </c>
      <c r="I78" s="150">
        <f>I86*1000/((I77-I76)*4.18)/1000*3600/1000</f>
        <v>36.779443166237122</v>
      </c>
    </row>
    <row r="79" spans="3:9">
      <c r="C79" s="114" t="s">
        <v>159</v>
      </c>
      <c r="D79" s="111">
        <f>D55</f>
        <v>80</v>
      </c>
      <c r="E79" s="85"/>
      <c r="F79" s="111">
        <f>F55</f>
        <v>85</v>
      </c>
      <c r="G79" s="111">
        <f>G55</f>
        <v>110</v>
      </c>
      <c r="I79" s="111">
        <f>I55</f>
        <v>80</v>
      </c>
    </row>
    <row r="80" spans="3:9">
      <c r="C80" s="114" t="s">
        <v>192</v>
      </c>
      <c r="D80" s="74">
        <f>D76+D58</f>
        <v>34.734477507015129</v>
      </c>
      <c r="E80" s="85"/>
      <c r="F80" s="74">
        <f>F76+F58</f>
        <v>49.916344672285355</v>
      </c>
      <c r="G80" s="74">
        <f>G76+G58</f>
        <v>50.28544635268608</v>
      </c>
      <c r="I80" s="74">
        <f>I76+I58</f>
        <v>35.30556101747198</v>
      </c>
    </row>
    <row r="81" spans="3:9">
      <c r="C81" s="114" t="s">
        <v>194</v>
      </c>
      <c r="D81" s="74">
        <f>D76+D58</f>
        <v>34.734477507015129</v>
      </c>
      <c r="E81" s="85"/>
      <c r="F81" s="74">
        <f>F76+F58</f>
        <v>49.916344672285355</v>
      </c>
      <c r="G81" s="74">
        <f>G76+G58</f>
        <v>50.28544635268608</v>
      </c>
      <c r="I81" s="74">
        <f>I76+I58</f>
        <v>35.30556101747198</v>
      </c>
    </row>
    <row r="82" spans="3:9">
      <c r="C82" s="114" t="s">
        <v>21</v>
      </c>
      <c r="D82" s="86">
        <v>1.95</v>
      </c>
      <c r="E82" s="85"/>
      <c r="F82" s="83">
        <v>2.17</v>
      </c>
      <c r="G82" s="83">
        <v>2.17</v>
      </c>
      <c r="I82" s="86">
        <v>1.95</v>
      </c>
    </row>
    <row r="83" spans="3:9">
      <c r="C83" s="114" t="s">
        <v>22</v>
      </c>
      <c r="D83" s="16">
        <v>980</v>
      </c>
      <c r="E83" s="85"/>
      <c r="F83" s="87">
        <v>835</v>
      </c>
      <c r="G83" s="87">
        <v>835</v>
      </c>
      <c r="I83" s="16">
        <v>980</v>
      </c>
    </row>
    <row r="84" spans="3:9">
      <c r="C84" s="7" t="s">
        <v>26</v>
      </c>
      <c r="D84" s="13">
        <f>(273.15+D36)*(D39/D38)^((D33-1)/D33)-273.15</f>
        <v>663.61617179163648</v>
      </c>
      <c r="F84" s="13">
        <f>(273.15+F36)*(F39/F38)^((F33-1)/F33)-273.15</f>
        <v>538.77139096355688</v>
      </c>
      <c r="G84" s="13">
        <f>(273.15+G36)*(G39/G38)^((G33-1)/G33)-273.15</f>
        <v>353.80147449143203</v>
      </c>
      <c r="I84" s="13">
        <f>(273.15+I36)*(I39/I38)^((I33-1)/I33)-273.15</f>
        <v>159.91521428058377</v>
      </c>
    </row>
    <row r="85" spans="3:9">
      <c r="C85" s="7" t="s">
        <v>74</v>
      </c>
      <c r="D85" s="13">
        <f>D84-D55</f>
        <v>583.61617179163648</v>
      </c>
      <c r="F85" s="13">
        <f>F84-F55</f>
        <v>453.77139096355688</v>
      </c>
      <c r="G85" s="13">
        <f>G84-G55</f>
        <v>243.80147449143203</v>
      </c>
      <c r="I85" s="13">
        <f>I84-I55</f>
        <v>79.915214280583768</v>
      </c>
    </row>
    <row r="86" spans="3:9">
      <c r="C86" s="7" t="s">
        <v>135</v>
      </c>
      <c r="D86" s="92">
        <f>D34*D85*D31/1000/D53</f>
        <v>604.01310311339955</v>
      </c>
      <c r="E86" s="25"/>
      <c r="F86" s="92">
        <f>F34*F85*F31/1000/F53</f>
        <v>267.72801510325996</v>
      </c>
      <c r="G86" s="92">
        <f>G34*G85*G31/1000/G53</f>
        <v>3352.4137969779486</v>
      </c>
      <c r="I86" s="92">
        <f>I34*I85*I31/1000/I53</f>
        <v>328.59117156710801</v>
      </c>
    </row>
    <row r="87" spans="3:9">
      <c r="C87" s="7" t="s">
        <v>190</v>
      </c>
      <c r="D87" s="141">
        <f>D86/(D82*(D55-D81))*3600</f>
        <v>24634.667889074688</v>
      </c>
      <c r="F87" s="141">
        <f>F86/(F82*(F55-F81))*3600</f>
        <v>12659.942973401576</v>
      </c>
      <c r="G87" s="141">
        <f>G86/(G82*(G55-G81))*3600</f>
        <v>93136.560566120359</v>
      </c>
      <c r="I87" s="141">
        <f>I86/(I82*(I55-I81))*3600</f>
        <v>13572.826262299859</v>
      </c>
    </row>
    <row r="88" spans="3:9">
      <c r="C88" s="7" t="s">
        <v>124</v>
      </c>
      <c r="D88" s="22">
        <f>D87/D83</f>
        <v>25.137416213341517</v>
      </c>
      <c r="F88" s="22">
        <f>F87/F83</f>
        <v>15.161608351379133</v>
      </c>
      <c r="G88" s="22">
        <f>G87/G83</f>
        <v>111.54079109715013</v>
      </c>
      <c r="I88" s="22">
        <f>I87/I83</f>
        <v>13.849822716632509</v>
      </c>
    </row>
    <row r="89" spans="3:9">
      <c r="C89" s="7" t="s">
        <v>195</v>
      </c>
      <c r="D89" s="103">
        <v>0</v>
      </c>
      <c r="F89" s="103">
        <v>0</v>
      </c>
      <c r="G89" s="103">
        <v>0</v>
      </c>
      <c r="I89" s="103">
        <v>0</v>
      </c>
    </row>
    <row r="90" spans="3:9">
      <c r="C90" s="7" t="s">
        <v>124</v>
      </c>
      <c r="D90" s="153">
        <f>D88*1000/60</f>
        <v>418.95693688902526</v>
      </c>
      <c r="F90" s="153">
        <f>F88*1000/60</f>
        <v>252.69347252298556</v>
      </c>
      <c r="G90" s="153">
        <f>G88*1000/60</f>
        <v>1859.0131849525023</v>
      </c>
      <c r="H90" s="1">
        <f>F90/D90</f>
        <v>0.60314903579200041</v>
      </c>
      <c r="I90" s="153">
        <f>I88*1000/60</f>
        <v>230.8303786105418</v>
      </c>
    </row>
    <row r="91" spans="3:9">
      <c r="C91" s="7" t="s">
        <v>172</v>
      </c>
      <c r="D91" s="93">
        <v>0.92255515242259667</v>
      </c>
      <c r="E91" s="106"/>
      <c r="F91" s="93">
        <v>0.92255515242259667</v>
      </c>
      <c r="G91" s="93">
        <v>0.92255515242259667</v>
      </c>
      <c r="I91" s="93">
        <v>0.92255515242259667</v>
      </c>
    </row>
    <row r="92" spans="3:9">
      <c r="C92" s="7" t="s">
        <v>171</v>
      </c>
      <c r="D92" s="18">
        <f>((D79-D77)-(D81-D76))/LN((D79-D77)/(D81-D76))*D91</f>
        <v>13.177999974284875</v>
      </c>
      <c r="F92" s="18">
        <f>((F79-F77)-(F81-F76))/LN((F79-F77)/(F81-F76))*F91</f>
        <v>11.904510399975537</v>
      </c>
      <c r="G92" s="18">
        <f>((G79-G77)-(G81-G76))/LN((G79-G77)/(G81-G76))*G91</f>
        <v>17.951017108448408</v>
      </c>
      <c r="I92" s="18">
        <f>((I79-I77)-(I81-I76))/LN((I79-I77)/(I81-I76))*I91</f>
        <v>13.177999974284882</v>
      </c>
    </row>
    <row r="93" spans="3:9">
      <c r="C93" s="7" t="s">
        <v>150</v>
      </c>
      <c r="D93" s="18">
        <f>D86/D92</f>
        <v>45.83496010715217</v>
      </c>
      <c r="F93" s="18">
        <f>F86/F92</f>
        <v>22.489628393605344</v>
      </c>
      <c r="G93" s="18">
        <f>G86/G92</f>
        <v>186.75341774367647</v>
      </c>
      <c r="H93" s="1">
        <f>F93/D93</f>
        <v>0.49066538600730714</v>
      </c>
      <c r="I93" s="18">
        <f>I86/I92</f>
        <v>24.93482866962438</v>
      </c>
    </row>
    <row r="94" spans="3:9">
      <c r="C94" s="115" t="s">
        <v>165</v>
      </c>
      <c r="D94" s="103">
        <v>0</v>
      </c>
      <c r="F94" s="103">
        <v>0</v>
      </c>
      <c r="G94" s="103">
        <v>0</v>
      </c>
      <c r="I94" s="103">
        <v>0</v>
      </c>
    </row>
    <row r="95" spans="3:9">
      <c r="C95" s="7" t="s">
        <v>148</v>
      </c>
      <c r="D95" s="92">
        <f>D93*D92</f>
        <v>604.01310311339955</v>
      </c>
      <c r="F95" s="92">
        <f>F93*F92</f>
        <v>267.72801510325996</v>
      </c>
      <c r="G95" s="92">
        <f>G93*G92</f>
        <v>3352.4137969779486</v>
      </c>
      <c r="I95" s="92">
        <f>I93*I92</f>
        <v>328.59117156710801</v>
      </c>
    </row>
    <row r="96" spans="3:9">
      <c r="C96" s="115" t="s">
        <v>164</v>
      </c>
      <c r="E96" s="122"/>
    </row>
    <row r="98" spans="3:9">
      <c r="C98" s="1" t="s">
        <v>202</v>
      </c>
      <c r="D98" s="151">
        <f>D65-D78</f>
        <v>-44.825160616816774</v>
      </c>
      <c r="F98" s="151">
        <f>F65-F78</f>
        <v>-11.621161232880743</v>
      </c>
      <c r="G98" s="151">
        <f>G65-G78</f>
        <v>8.85698699448767E-6</v>
      </c>
      <c r="I98" s="151">
        <f>I65-I78</f>
        <v>1.6338232100565619E-6</v>
      </c>
    </row>
    <row r="99" spans="3:9">
      <c r="C99" s="43" t="s">
        <v>104</v>
      </c>
      <c r="D99" s="75">
        <f>D30/D102</f>
        <v>244.89512442920591</v>
      </c>
      <c r="F99" s="75">
        <f>F30/F102</f>
        <v>364.47817339474108</v>
      </c>
      <c r="G99" s="75">
        <f>G30/G102</f>
        <v>1763.2190330292399</v>
      </c>
      <c r="I99" s="75">
        <f>I30/I102</f>
        <v>1058.4331707053725</v>
      </c>
    </row>
    <row r="100" spans="3:9">
      <c r="C100" s="43" t="s">
        <v>105</v>
      </c>
      <c r="D100" s="63">
        <f>D88/(D99+D160)</f>
        <v>0.10264563768646288</v>
      </c>
      <c r="F100" s="63">
        <f>F88/(F99+F160)</f>
        <v>4.1598124272200644E-2</v>
      </c>
      <c r="G100" s="63">
        <f>G88/(G99+G160)</f>
        <v>6.3259747659098933E-2</v>
      </c>
      <c r="I100" s="63">
        <f>I88/(I99+I160)</f>
        <v>1.3085212274103768E-2</v>
      </c>
    </row>
    <row r="101" spans="3:9">
      <c r="C101" s="43" t="s">
        <v>119</v>
      </c>
      <c r="D101" s="1">
        <f>[1]!density(D13,"TP","SI with C",D36,D38/10)</f>
        <v>0.1563484921404503</v>
      </c>
      <c r="F101" s="1">
        <f>[1]!density(F13,"TP","SI with C",F36,F38/10)</f>
        <v>7.4469547471797029E-2</v>
      </c>
      <c r="G101" s="1">
        <f>[1]!density(G13,"TP","SI with C",G36,G38/10)</f>
        <v>0.59781638993454889</v>
      </c>
      <c r="I101" s="1">
        <f>[1]!density(I13,"TP","SI with C",I36,I38/10)</f>
        <v>0.69421565021879217</v>
      </c>
    </row>
    <row r="102" spans="3:9">
      <c r="C102" s="43" t="s">
        <v>120</v>
      </c>
      <c r="D102" s="1">
        <f>[1]!density(D13,"TP","SI with C",D63,D39/10)</f>
        <v>2.352027225297046</v>
      </c>
      <c r="F102" s="1">
        <f>[1]!density(F13,"TP","SI with C",F63,F39/10)</f>
        <v>0.75272436698965828</v>
      </c>
      <c r="G102" s="1">
        <f>[1]!density(G13,"TP","SI with C",G63,G39/10)</f>
        <v>3.1357056980397648</v>
      </c>
      <c r="I102" s="1">
        <f>[1]!density(I13,"TP","SI with C",I63,I39/10)</f>
        <v>3.5261166990244281</v>
      </c>
    </row>
    <row r="103" spans="3:9">
      <c r="C103" s="43" t="s">
        <v>126</v>
      </c>
      <c r="D103" s="1">
        <f>[1]!density("helium","TP","SI with C",0,1/10)</f>
        <v>0.1761481440000498</v>
      </c>
      <c r="F103" s="1">
        <f>[1]!density("helium","TP","SI with C",0,1/10)</f>
        <v>0.1761481440000498</v>
      </c>
      <c r="G103" s="1">
        <f>[1]!density("helium","TP","SI with C",0,1/10)</f>
        <v>0.1761481440000498</v>
      </c>
      <c r="I103" s="1">
        <f>[1]!density("helium","TP","SI with C",0,1/10)</f>
        <v>0.1761481440000498</v>
      </c>
    </row>
    <row r="106" spans="3:9">
      <c r="C106" s="12" t="s">
        <v>166</v>
      </c>
      <c r="D106" s="119">
        <f>D77-D62</f>
        <v>10</v>
      </c>
      <c r="F106" s="119">
        <f>F77-F62</f>
        <v>10</v>
      </c>
      <c r="G106" s="119">
        <f>G77-G62</f>
        <v>10</v>
      </c>
      <c r="I106" s="119">
        <f>I77-I62</f>
        <v>10</v>
      </c>
    </row>
    <row r="107" spans="3:9">
      <c r="C107" s="7" t="s">
        <v>17</v>
      </c>
      <c r="D107" s="28">
        <f>D51/(D106*4.18)*3.6</f>
        <v>54.65957711325742</v>
      </c>
      <c r="F107" s="28">
        <f>F51/(F106*4.18)*3.6*0.9</f>
        <v>22.345336881646588</v>
      </c>
      <c r="G107" s="28">
        <f>G51/(G106*4.18)*3.6*0.9</f>
        <v>323.06987815748704</v>
      </c>
      <c r="H107" s="1">
        <f>F78/F107</f>
        <v>1.1359847043252358</v>
      </c>
      <c r="I107" s="28">
        <f>I51/(I106*4.18)*3.6</f>
        <v>46.48032015690481</v>
      </c>
    </row>
    <row r="108" spans="3:9">
      <c r="F108" s="153">
        <f>F107*1000/60</f>
        <v>372.42228136077648</v>
      </c>
      <c r="G108" s="153">
        <f>G107*1000/60</f>
        <v>5384.4979692914503</v>
      </c>
    </row>
    <row r="109" spans="3:9">
      <c r="C109" s="1" t="s">
        <v>167</v>
      </c>
      <c r="D109" s="97">
        <f>D86+D72</f>
        <v>640.4878182193587</v>
      </c>
      <c r="E109" s="97"/>
      <c r="F109" s="97">
        <f>F86+F72</f>
        <v>282.37133091167601</v>
      </c>
      <c r="G109" s="97">
        <f>G86+G72</f>
        <v>3846.9139604544525</v>
      </c>
      <c r="I109" s="97">
        <f>I86+I72</f>
        <v>427.05020558174056</v>
      </c>
    </row>
    <row r="110" spans="3:9">
      <c r="C110" s="1" t="s">
        <v>168</v>
      </c>
      <c r="D110" s="97">
        <f>D51</f>
        <v>634.65842314837778</v>
      </c>
      <c r="F110" s="97">
        <f>F51</f>
        <v>288.2824326088973</v>
      </c>
      <c r="G110" s="97">
        <f>G51</f>
        <v>4168.0002799330114</v>
      </c>
      <c r="I110" s="97">
        <f>I51</f>
        <v>539.68816182183912</v>
      </c>
    </row>
    <row r="111" spans="3:9">
      <c r="D111" s="97">
        <f>D109-D110</f>
        <v>5.8293950709809224</v>
      </c>
      <c r="F111" s="97">
        <f>F109-F110</f>
        <v>-5.9111016972212838</v>
      </c>
      <c r="G111" s="97">
        <f>G109-G110</f>
        <v>-321.08631947855883</v>
      </c>
      <c r="I111" s="97">
        <f>I109-I110</f>
        <v>-112.63795624009856</v>
      </c>
    </row>
    <row r="114" spans="2:9">
      <c r="B114" s="99"/>
      <c r="C114" s="7"/>
      <c r="D114" s="9"/>
      <c r="E114" s="85"/>
      <c r="F114" s="9"/>
      <c r="G114" s="9"/>
      <c r="I114" s="9"/>
    </row>
    <row r="115" spans="2:9">
      <c r="B115" s="99"/>
      <c r="E115" s="85"/>
    </row>
    <row r="132" spans="3:9">
      <c r="C132" s="1" t="s">
        <v>137</v>
      </c>
    </row>
    <row r="133" spans="3:9">
      <c r="C133" s="1" t="s">
        <v>153</v>
      </c>
    </row>
    <row r="141" spans="3:9">
      <c r="C141" s="17" t="s">
        <v>23</v>
      </c>
      <c r="D141" s="18">
        <f>D142/D83*10^6</f>
        <v>11.288071981352864</v>
      </c>
      <c r="F141" s="18">
        <f>F142/F83*10^6</f>
        <v>11.708581486437197</v>
      </c>
      <c r="G141" s="18">
        <f>G142/G83*10^6</f>
        <v>7.1034278817186189</v>
      </c>
      <c r="I141" s="18">
        <f>I142/I83*10^6</f>
        <v>11.288071981352864</v>
      </c>
    </row>
    <row r="142" spans="3:9">
      <c r="C142" s="17" t="s">
        <v>24</v>
      </c>
      <c r="D142" s="19">
        <f>[2]!mu_("BREOXB35",D39,D55+273)</f>
        <v>1.1062310541725807E-2</v>
      </c>
      <c r="F142" s="19">
        <f>[2]!mu_("BREOXB35",F39,F55+273)</f>
        <v>9.77666554117506E-3</v>
      </c>
      <c r="G142" s="19">
        <f>[2]!mu_("BREOXB35",G39,G55+273)</f>
        <v>5.9313622812350465E-3</v>
      </c>
      <c r="I142" s="19">
        <f>[2]!mu_("BREOXB35",I39,I55+273)</f>
        <v>1.1062310541725807E-2</v>
      </c>
    </row>
    <row r="145" spans="3:9">
      <c r="D145" s="97">
        <f>D86-D95</f>
        <v>0</v>
      </c>
      <c r="F145" s="97">
        <f>F86-F95</f>
        <v>0</v>
      </c>
      <c r="G145" s="97">
        <f>G86-G95</f>
        <v>0</v>
      </c>
      <c r="I145" s="97">
        <f>I86-I95</f>
        <v>0</v>
      </c>
    </row>
    <row r="146" spans="3:9">
      <c r="D146" s="1">
        <f>D93/429.82</f>
        <v>0.1066375694643157</v>
      </c>
      <c r="F146" s="1">
        <f>F93/429.82</f>
        <v>5.2323364184089491E-2</v>
      </c>
      <c r="G146" s="1">
        <f>G93/429.82</f>
        <v>0.43449215425917004</v>
      </c>
      <c r="I146" s="1">
        <f>I93/429.82</f>
        <v>5.8012257851250248E-2</v>
      </c>
    </row>
    <row r="147" spans="3:9">
      <c r="C147" s="1" t="s">
        <v>136</v>
      </c>
      <c r="D147" s="1">
        <v>0.14510000000000001</v>
      </c>
      <c r="F147" s="1">
        <v>0.14510000000000001</v>
      </c>
      <c r="G147" s="1">
        <v>0.14510000000000001</v>
      </c>
      <c r="I147" s="1">
        <v>0.14510000000000001</v>
      </c>
    </row>
    <row r="148" spans="3:9">
      <c r="D148" s="1">
        <v>0.62909999999999999</v>
      </c>
      <c r="F148" s="1">
        <v>0.62909999999999999</v>
      </c>
      <c r="G148" s="1">
        <v>0.62909999999999999</v>
      </c>
      <c r="I148" s="1">
        <v>0.62909999999999999</v>
      </c>
    </row>
    <row r="149" spans="3:9">
      <c r="D149" s="1">
        <f>1/(1/D147+1/D148)</f>
        <v>0.11790546370446912</v>
      </c>
      <c r="F149" s="1">
        <f>1/(1/F147+1/F148)</f>
        <v>0.11790546370446912</v>
      </c>
      <c r="G149" s="1">
        <f>1/(1/G147+1/G148)</f>
        <v>0.11790546370446912</v>
      </c>
      <c r="I149" s="1">
        <f>1/(1/I147+1/I148)</f>
        <v>0.11790546370446912</v>
      </c>
    </row>
    <row r="150" spans="3:9">
      <c r="C150"/>
    </row>
    <row r="151" spans="3:9">
      <c r="C151"/>
    </row>
    <row r="152" spans="3:9" ht="15">
      <c r="C152" s="65" t="s">
        <v>137</v>
      </c>
      <c r="D152" s="1">
        <f>2895.06*10^3</f>
        <v>2895060</v>
      </c>
      <c r="E152" s="1" t="s">
        <v>142</v>
      </c>
      <c r="F152" s="1">
        <f>2895.06*10^3</f>
        <v>2895060</v>
      </c>
      <c r="G152" s="1">
        <f>2895.06*10^3</f>
        <v>2895060</v>
      </c>
      <c r="I152" s="1">
        <f>2895.06*10^3</f>
        <v>2895060</v>
      </c>
    </row>
    <row r="153" spans="3:9">
      <c r="C153" s="1" t="s">
        <v>133</v>
      </c>
      <c r="D153" s="1">
        <f>20.43</f>
        <v>20.43</v>
      </c>
      <c r="F153" s="1">
        <f>20.43</f>
        <v>20.43</v>
      </c>
      <c r="G153" s="1">
        <f>20.43</f>
        <v>20.43</v>
      </c>
      <c r="I153" s="1">
        <f>20.43</f>
        <v>20.43</v>
      </c>
    </row>
    <row r="154" spans="3:9">
      <c r="C154" s="1" t="s">
        <v>145</v>
      </c>
      <c r="D154" s="1">
        <v>429.82</v>
      </c>
      <c r="E154" s="1" t="s">
        <v>146</v>
      </c>
      <c r="F154" s="1">
        <v>429.82</v>
      </c>
      <c r="G154" s="1">
        <v>429.82</v>
      </c>
      <c r="I154" s="1">
        <v>429.82</v>
      </c>
    </row>
    <row r="155" spans="3:9">
      <c r="C155" s="1" t="s">
        <v>144</v>
      </c>
      <c r="D155" s="1">
        <f>D152/(D153*D154)</f>
        <v>329.68757676180536</v>
      </c>
      <c r="E155" s="1" t="s">
        <v>143</v>
      </c>
      <c r="F155" s="1">
        <f>F152/(F153*F154)</f>
        <v>329.68757676180536</v>
      </c>
      <c r="G155" s="1">
        <f>G152/(G153*G154)</f>
        <v>329.68757676180536</v>
      </c>
      <c r="I155" s="1">
        <f>I152/(I153*I154)</f>
        <v>329.68757676180536</v>
      </c>
    </row>
    <row r="156" spans="3:9">
      <c r="D156" s="1">
        <f>374/D155</f>
        <v>1.1344073188120454</v>
      </c>
      <c r="F156" s="1">
        <f>374/F155</f>
        <v>1.1344073188120454</v>
      </c>
      <c r="G156" s="1">
        <f>374/G155</f>
        <v>1.1344073188120454</v>
      </c>
      <c r="I156" s="1">
        <f>374/I155</f>
        <v>1.1344073188120454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56"/>
  <sheetViews>
    <sheetView zoomScale="115" zoomScaleNormal="115" workbookViewId="0">
      <selection activeCell="D33" sqref="D33"/>
    </sheetView>
  </sheetViews>
  <sheetFormatPr defaultRowHeight="12.75" outlineLevelRow="1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2.85546875" style="1" customWidth="1"/>
    <col min="6" max="7" width="24" style="1" customWidth="1"/>
    <col min="8" max="8" width="9.140625" style="1"/>
    <col min="9" max="9" width="24" style="1" customWidth="1"/>
    <col min="10" max="16384" width="9.140625" style="1"/>
  </cols>
  <sheetData>
    <row r="1" spans="1:9">
      <c r="C1" s="133" t="s">
        <v>177</v>
      </c>
    </row>
    <row r="2" spans="1:9">
      <c r="A2" s="43" t="s">
        <v>66</v>
      </c>
      <c r="B2" s="20">
        <f>[1]!MolarMass("air")</f>
        <v>28.958600656000002</v>
      </c>
      <c r="C2" s="133" t="s">
        <v>178</v>
      </c>
    </row>
    <row r="3" spans="1:9">
      <c r="A3" s="43"/>
      <c r="B3" s="20"/>
      <c r="C3" s="131" t="s">
        <v>180</v>
      </c>
      <c r="D3" s="132">
        <v>2.63</v>
      </c>
      <c r="F3" s="132">
        <v>2.63</v>
      </c>
      <c r="G3" s="132">
        <v>2.63</v>
      </c>
      <c r="I3" s="132">
        <v>2.63</v>
      </c>
    </row>
    <row r="4" spans="1:9">
      <c r="A4" s="43" t="s">
        <v>64</v>
      </c>
      <c r="B4" s="20">
        <f>[1]!density("air","TP","SI with C",0,1/10)</f>
        <v>1.2758162153163073</v>
      </c>
      <c r="C4" s="134" t="s">
        <v>181</v>
      </c>
      <c r="D4" s="135">
        <v>3.65</v>
      </c>
      <c r="F4" s="135">
        <v>3.65</v>
      </c>
      <c r="G4" s="135">
        <v>3.65</v>
      </c>
      <c r="I4" s="135">
        <v>3.65</v>
      </c>
    </row>
    <row r="5" spans="1:9">
      <c r="C5" s="131" t="s">
        <v>182</v>
      </c>
      <c r="D5" s="132">
        <v>5.8</v>
      </c>
      <c r="F5" s="132">
        <v>5.8</v>
      </c>
      <c r="G5" s="132">
        <v>5.8</v>
      </c>
      <c r="I5" s="132">
        <v>5.8</v>
      </c>
    </row>
    <row r="6" spans="1:9">
      <c r="C6" s="1" t="s">
        <v>178</v>
      </c>
      <c r="D6" s="1">
        <f>D4^1.66</f>
        <v>8.5783972744961066</v>
      </c>
      <c r="F6" s="1">
        <f>F4^1.66</f>
        <v>8.5783972744961066</v>
      </c>
      <c r="G6" s="1">
        <f>G4^1.66</f>
        <v>8.5783972744961066</v>
      </c>
      <c r="I6" s="1">
        <f>I4^1.66</f>
        <v>8.5783972744961066</v>
      </c>
    </row>
    <row r="8" spans="1:9">
      <c r="A8" s="1">
        <f>[1]!MolarMass(C15)</f>
        <v>4.0026020000000004</v>
      </c>
    </row>
    <row r="9" spans="1:9">
      <c r="A9" s="1">
        <f>[1]!MolarMass(C16)</f>
        <v>28.013480000000001</v>
      </c>
      <c r="D9" s="1" t="s">
        <v>208</v>
      </c>
    </row>
    <row r="10" spans="1:9">
      <c r="A10" s="1">
        <f>[1]!MolarMass(C17)</f>
        <v>16.0428</v>
      </c>
      <c r="F10" s="6" t="s">
        <v>214</v>
      </c>
      <c r="G10" s="6" t="s">
        <v>214</v>
      </c>
    </row>
    <row r="11" spans="1:9" ht="38.25">
      <c r="A11" s="1">
        <f>[1]!MolarMass(C18)</f>
        <v>39.948</v>
      </c>
      <c r="D11" s="157" t="s">
        <v>217</v>
      </c>
      <c r="F11" s="48" t="s">
        <v>210</v>
      </c>
      <c r="G11" s="48" t="s">
        <v>211</v>
      </c>
      <c r="I11" s="48" t="s">
        <v>206</v>
      </c>
    </row>
    <row r="12" spans="1:9">
      <c r="A12" s="1">
        <f>[1]!MolarMass(C19)</f>
        <v>2.0158800000000001</v>
      </c>
      <c r="F12" s="155" t="s">
        <v>213</v>
      </c>
      <c r="G12" s="155" t="s">
        <v>212</v>
      </c>
    </row>
    <row r="13" spans="1:9">
      <c r="A13" s="1">
        <f>[1]!MolarMass(C20)</f>
        <v>28.958600656000002</v>
      </c>
      <c r="C13" s="7" t="s">
        <v>123</v>
      </c>
      <c r="D13" s="144" t="s">
        <v>54</v>
      </c>
      <c r="F13" s="144" t="s">
        <v>54</v>
      </c>
      <c r="G13" s="144" t="s">
        <v>54</v>
      </c>
      <c r="I13" s="144" t="s">
        <v>207</v>
      </c>
    </row>
    <row r="14" spans="1:9" hidden="1" outlineLevel="1">
      <c r="A14" s="1">
        <f>[1]!MolarMass(C21)</f>
        <v>28.010100000000001</v>
      </c>
      <c r="C14" s="32" t="s">
        <v>48</v>
      </c>
      <c r="D14" s="32" t="s">
        <v>49</v>
      </c>
      <c r="F14" s="32" t="s">
        <v>49</v>
      </c>
      <c r="G14" s="32" t="s">
        <v>49</v>
      </c>
      <c r="I14" s="32" t="s">
        <v>49</v>
      </c>
    </row>
    <row r="15" spans="1:9" hidden="1" outlineLevel="1">
      <c r="A15" s="1">
        <f>[1]!MolarMass(C22)</f>
        <v>31.998799999999999</v>
      </c>
      <c r="C15" s="33" t="s">
        <v>54</v>
      </c>
      <c r="D15" s="41">
        <v>1</v>
      </c>
      <c r="F15" s="41">
        <v>1</v>
      </c>
      <c r="G15" s="41">
        <v>1</v>
      </c>
      <c r="I15" s="41">
        <v>1</v>
      </c>
    </row>
    <row r="16" spans="1:9" hidden="1" outlineLevel="1">
      <c r="C16" s="33" t="s">
        <v>50</v>
      </c>
      <c r="D16" s="41">
        <v>0</v>
      </c>
      <c r="F16" s="41">
        <v>0</v>
      </c>
      <c r="G16" s="41">
        <v>0</v>
      </c>
      <c r="I16" s="41">
        <v>0</v>
      </c>
    </row>
    <row r="17" spans="3:9" hidden="1" outlineLevel="1">
      <c r="C17" s="33" t="s">
        <v>55</v>
      </c>
      <c r="D17" s="41">
        <v>0</v>
      </c>
      <c r="F17" s="41">
        <v>0</v>
      </c>
      <c r="G17" s="41">
        <v>0</v>
      </c>
      <c r="I17" s="41">
        <v>0</v>
      </c>
    </row>
    <row r="18" spans="3:9" hidden="1" outlineLevel="1">
      <c r="C18" s="33" t="s">
        <v>51</v>
      </c>
      <c r="D18" s="41">
        <v>0</v>
      </c>
      <c r="F18" s="41">
        <v>0</v>
      </c>
      <c r="G18" s="41">
        <v>0</v>
      </c>
      <c r="I18" s="41">
        <v>0</v>
      </c>
    </row>
    <row r="19" spans="3:9" hidden="1" outlineLevel="1">
      <c r="C19" s="33" t="s">
        <v>56</v>
      </c>
      <c r="D19" s="41">
        <v>0</v>
      </c>
      <c r="F19" s="41">
        <v>0</v>
      </c>
      <c r="G19" s="41">
        <v>0</v>
      </c>
      <c r="I19" s="41">
        <v>0</v>
      </c>
    </row>
    <row r="20" spans="3:9" hidden="1" outlineLevel="1">
      <c r="C20" s="33" t="s">
        <v>82</v>
      </c>
      <c r="D20" s="41">
        <v>0</v>
      </c>
      <c r="F20" s="41">
        <v>0</v>
      </c>
      <c r="G20" s="41">
        <v>0</v>
      </c>
      <c r="I20" s="41">
        <v>0</v>
      </c>
    </row>
    <row r="21" spans="3:9" hidden="1" outlineLevel="1">
      <c r="C21" s="33" t="s">
        <v>57</v>
      </c>
      <c r="D21" s="41">
        <v>0</v>
      </c>
      <c r="F21" s="41">
        <v>0</v>
      </c>
      <c r="G21" s="41">
        <v>0</v>
      </c>
      <c r="I21" s="41">
        <v>0</v>
      </c>
    </row>
    <row r="22" spans="3:9" hidden="1" outlineLevel="1">
      <c r="C22" s="33" t="s">
        <v>52</v>
      </c>
      <c r="D22" s="41">
        <v>0</v>
      </c>
      <c r="F22" s="41">
        <v>0</v>
      </c>
      <c r="G22" s="41">
        <v>0</v>
      </c>
      <c r="I22" s="41">
        <v>0</v>
      </c>
    </row>
    <row r="23" spans="3:9" hidden="1" outlineLevel="1">
      <c r="C23" s="34" t="s">
        <v>53</v>
      </c>
      <c r="D23" s="35">
        <f>SUM(D15:D22)</f>
        <v>1</v>
      </c>
      <c r="F23" s="35">
        <f>SUM(F15:F22)</f>
        <v>1</v>
      </c>
      <c r="G23" s="35">
        <f>SUM(G15:G22)</f>
        <v>1</v>
      </c>
      <c r="I23" s="35">
        <f>SUM(I15:I22)</f>
        <v>1</v>
      </c>
    </row>
    <row r="24" spans="3:9" collapsed="1">
      <c r="D24" s="6"/>
      <c r="F24" s="6"/>
      <c r="G24" s="6"/>
      <c r="I24" s="6"/>
    </row>
    <row r="25" spans="3:9">
      <c r="C25" s="7" t="s">
        <v>125</v>
      </c>
      <c r="D25" s="37">
        <v>7575.8548652980107</v>
      </c>
      <c r="F25" s="37">
        <v>10360</v>
      </c>
      <c r="G25" s="37">
        <v>10958</v>
      </c>
      <c r="I25" s="37">
        <v>6540</v>
      </c>
    </row>
    <row r="27" spans="3:9">
      <c r="C27" s="7" t="s">
        <v>114</v>
      </c>
      <c r="D27" s="158">
        <v>0.90080000000000005</v>
      </c>
      <c r="F27" s="45">
        <v>0.86899999999999999</v>
      </c>
      <c r="G27" s="45">
        <v>0.84399999999999997</v>
      </c>
      <c r="I27" s="45">
        <v>0.82203058218450165</v>
      </c>
    </row>
    <row r="28" spans="3:9">
      <c r="C28" s="7" t="s">
        <v>68</v>
      </c>
      <c r="D28" s="46">
        <f>D25*D27</f>
        <v>6824.3300626604487</v>
      </c>
      <c r="F28" s="46">
        <f>F25*F27</f>
        <v>9002.84</v>
      </c>
      <c r="G28" s="46">
        <f>G25*G27</f>
        <v>9248.5519999999997</v>
      </c>
      <c r="I28" s="46">
        <f>I25*I27</f>
        <v>5376.0800074866411</v>
      </c>
    </row>
    <row r="29" spans="3:9">
      <c r="C29" s="7" t="s">
        <v>128</v>
      </c>
      <c r="D29" s="56">
        <f>D28*D38*273.15/(273.15+D36)</f>
        <v>6130.8396475704722</v>
      </c>
      <c r="F29" s="56">
        <f>F28*F38*273.15/(273.15+F36)</f>
        <v>7990.3513331270306</v>
      </c>
      <c r="G29" s="56">
        <f>G28*G38*273.15/(273.15+G36)</f>
        <v>31426.559662002161</v>
      </c>
      <c r="I29" s="56">
        <f>I28*I38*273.15/(273.15+I36)</f>
        <v>4925.2934900049504</v>
      </c>
    </row>
    <row r="30" spans="3:9">
      <c r="C30" s="7" t="s">
        <v>129</v>
      </c>
      <c r="D30" s="81">
        <f>D31*3.6</f>
        <v>1079.9999999999998</v>
      </c>
      <c r="F30" s="81">
        <f>F31*3.6</f>
        <v>1407.5804589817315</v>
      </c>
      <c r="G30" s="81">
        <f>G31*3.6</f>
        <v>5528.9359687619517</v>
      </c>
      <c r="I30" s="81">
        <f>I31*3.6</f>
        <v>3732.1588780255875</v>
      </c>
    </row>
    <row r="31" spans="3:9">
      <c r="C31" s="7" t="s">
        <v>130</v>
      </c>
      <c r="D31" s="47">
        <f>D28*D101*1000/3600</f>
        <v>299.99999999999994</v>
      </c>
      <c r="F31" s="47">
        <f>F28*F101*1000/3600</f>
        <v>390.99457193936985</v>
      </c>
      <c r="G31" s="47">
        <f>G28*G101*1000/3600</f>
        <v>1535.81554687832</v>
      </c>
      <c r="I31" s="47">
        <f>I28*I101*1000/3600</f>
        <v>1036.710799451552</v>
      </c>
    </row>
    <row r="32" spans="3:9">
      <c r="C32" s="7" t="s">
        <v>2</v>
      </c>
      <c r="D32" s="42">
        <f>[1]!MolarMass(D13)</f>
        <v>4.0026020000000004</v>
      </c>
      <c r="F32" s="42">
        <f>[1]!MolarMass(F13)</f>
        <v>4.0026020000000004</v>
      </c>
      <c r="G32" s="42">
        <f>[1]!MolarMass(G13)</f>
        <v>4.0026020000000004</v>
      </c>
      <c r="I32" s="42">
        <f>[1]!MolarMass(I13)</f>
        <v>17.030259999999998</v>
      </c>
    </row>
    <row r="33" spans="1:9">
      <c r="C33" s="7" t="s">
        <v>3</v>
      </c>
      <c r="D33" s="39">
        <f>[1]!Isentropicexpansioncoef(D13,"TP","SI with C",D36,D38/10)</f>
        <v>1.6673231627049421</v>
      </c>
      <c r="F33" s="39">
        <f>[1]!Isentropicexpansioncoef(F13,"TP","SI with C",F36,F38/10)</f>
        <v>1.6673073110711398</v>
      </c>
      <c r="G33" s="39">
        <f>[1]!Isentropicexpansioncoef(G13,"TP","SI with C",G36,G38/10)</f>
        <v>1.6691171737786383</v>
      </c>
      <c r="I33" s="39">
        <f>[1]!Isentropicexpansioncoef(I13,"TP","SI with C",I36,I38/10)</f>
        <v>1.3019801225312162</v>
      </c>
    </row>
    <row r="34" spans="1:9">
      <c r="C34" s="7" t="s">
        <v>4</v>
      </c>
      <c r="D34" s="38">
        <f>[1]!IsobaricHeatCapacity(D13,"TP","SI with C",D36,D38/10)</f>
        <v>5.1931914344410677</v>
      </c>
      <c r="F34" s="38">
        <f>[1]!IsobaricHeatCapacity(F13,"TP","SI with C",F36,F38/10)</f>
        <v>5.1931775941897742</v>
      </c>
      <c r="G34" s="38">
        <f>[1]!IsobaricHeatCapacity(G13,"TP","SI with C",G36,G38/10)</f>
        <v>5.1932076768868773</v>
      </c>
      <c r="I34" s="38">
        <f>[1]!IsobaricHeatCapacity(I13,"TP","SI with C",I36,I38/10)</f>
        <v>2.1635114445215873</v>
      </c>
    </row>
    <row r="35" spans="1:9">
      <c r="C35" s="7" t="s">
        <v>5</v>
      </c>
      <c r="D35" s="8">
        <f>D39/D38</f>
        <v>3.2576505429417573</v>
      </c>
      <c r="F35" s="8">
        <f>F39/F38</f>
        <v>3.9047619047619042</v>
      </c>
      <c r="G35" s="8">
        <f>G39/G38</f>
        <v>5.2238805970149258</v>
      </c>
      <c r="I35" s="8">
        <f>I39/I38</f>
        <v>5</v>
      </c>
    </row>
    <row r="36" spans="1:9">
      <c r="C36" s="7" t="s">
        <v>6</v>
      </c>
      <c r="D36" s="74">
        <v>34.85</v>
      </c>
      <c r="F36" s="74">
        <v>50</v>
      </c>
      <c r="G36" s="74">
        <v>50</v>
      </c>
      <c r="I36" s="74">
        <v>25</v>
      </c>
    </row>
    <row r="37" spans="1:9">
      <c r="C37" s="7" t="s">
        <v>7</v>
      </c>
      <c r="D37" s="10">
        <v>1.0129999999999999</v>
      </c>
      <c r="F37" s="10">
        <v>1.05</v>
      </c>
      <c r="G37" s="10">
        <v>4.0199999999999996</v>
      </c>
      <c r="I37" s="10">
        <v>1</v>
      </c>
    </row>
    <row r="38" spans="1:9">
      <c r="C38" s="7" t="s">
        <v>7</v>
      </c>
      <c r="D38" s="40">
        <f>D37</f>
        <v>1.0129999999999999</v>
      </c>
      <c r="F38" s="40">
        <f>F37</f>
        <v>1.05</v>
      </c>
      <c r="G38" s="40">
        <f>G37</f>
        <v>4.0199999999999996</v>
      </c>
      <c r="I38" s="40">
        <f>I37</f>
        <v>1</v>
      </c>
    </row>
    <row r="39" spans="1:9">
      <c r="C39" s="7" t="s">
        <v>8</v>
      </c>
      <c r="D39" s="27">
        <v>3.3</v>
      </c>
      <c r="F39" s="27">
        <v>4.0999999999999996</v>
      </c>
      <c r="G39" s="27">
        <v>21</v>
      </c>
      <c r="I39" s="27">
        <v>5</v>
      </c>
    </row>
    <row r="40" spans="1:9">
      <c r="A40" s="130">
        <f>3.99/1.05</f>
        <v>3.8</v>
      </c>
      <c r="C40" s="7" t="s">
        <v>179</v>
      </c>
      <c r="D40" s="130">
        <f>D39/D38</f>
        <v>3.2576505429417573</v>
      </c>
      <c r="F40" s="130">
        <f>F39/F38</f>
        <v>3.9047619047619042</v>
      </c>
      <c r="G40" s="130">
        <f>G39/G38</f>
        <v>5.2238805970149258</v>
      </c>
      <c r="I40" s="130">
        <f>I39/I38</f>
        <v>5</v>
      </c>
    </row>
    <row r="41" spans="1:9">
      <c r="A41" s="130">
        <f>A40^(1/D33)</f>
        <v>2.2270665075568865</v>
      </c>
      <c r="C41" s="7" t="s">
        <v>183</v>
      </c>
      <c r="D41" s="130">
        <f>D40^(1/D33)</f>
        <v>2.0305866439912577</v>
      </c>
      <c r="F41" s="130">
        <f>F40^(1/F33)</f>
        <v>2.2637076910638667</v>
      </c>
      <c r="G41" s="130">
        <f>G40^(1/G33)</f>
        <v>2.6925481215188416</v>
      </c>
      <c r="I41" s="130">
        <f>I40^(1/I33)</f>
        <v>3.4423221973080018</v>
      </c>
    </row>
    <row r="42" spans="1:9">
      <c r="C42" s="7" t="s">
        <v>184</v>
      </c>
      <c r="D42" s="130">
        <f>D3</f>
        <v>2.63</v>
      </c>
      <c r="F42" s="130">
        <f>F3</f>
        <v>2.63</v>
      </c>
      <c r="G42" s="130">
        <f>G3</f>
        <v>2.63</v>
      </c>
      <c r="I42" s="130">
        <f>I3</f>
        <v>2.63</v>
      </c>
    </row>
    <row r="43" spans="1:9">
      <c r="C43" s="7" t="s">
        <v>185</v>
      </c>
      <c r="D43" s="130">
        <f>D42^D33</f>
        <v>5.0142033969223192</v>
      </c>
      <c r="F43" s="130">
        <f>F42^F33</f>
        <v>5.0141265384287053</v>
      </c>
      <c r="G43" s="130">
        <f>G42^G33</f>
        <v>5.0229094847170428</v>
      </c>
      <c r="I43" s="130">
        <f>I42^I33</f>
        <v>3.5218758040502589</v>
      </c>
    </row>
    <row r="44" spans="1:9">
      <c r="C44" s="7" t="s">
        <v>186</v>
      </c>
      <c r="D44" s="136">
        <f>D43/D40</f>
        <v>1.5392084972976694</v>
      </c>
      <c r="E44" s="43"/>
      <c r="F44" s="136">
        <f>F43/F40</f>
        <v>1.2841055769146685</v>
      </c>
      <c r="G44" s="136">
        <f>G43/G40</f>
        <v>0.96152838707440524</v>
      </c>
      <c r="I44" s="136">
        <f>I43/I40</f>
        <v>0.7043751608100518</v>
      </c>
    </row>
    <row r="45" spans="1:9">
      <c r="C45" s="7" t="s">
        <v>78</v>
      </c>
      <c r="D45" s="30">
        <f>(D31*8.314/D32*(D36+273.15)*LN(D39/D38)/1000)</f>
        <v>226.66881636387296</v>
      </c>
      <c r="F45" s="30">
        <f>(F31*8.314/F32*(F36+273.15)*LN(F39/F38)/1000)</f>
        <v>357.50519696268645</v>
      </c>
      <c r="G45" s="30">
        <f>(G31*8.314/G32*(G36+273.15)*LN(G39/G38)/1000)</f>
        <v>1704.3032689249571</v>
      </c>
      <c r="I45" s="30">
        <f>(I31*8.314/I32*(I36+273.15)*LN(I39/I38)/1000)</f>
        <v>242.85967281982761</v>
      </c>
    </row>
    <row r="46" spans="1:9">
      <c r="C46" s="7" t="s">
        <v>79</v>
      </c>
      <c r="D46" s="30">
        <f>D38*10^5*D28/3600*LN(D39/D38)/1000</f>
        <v>226.78752508404762</v>
      </c>
      <c r="F46" s="30">
        <f>F38*10^5*F28/3600*LN(F39/F38)/1000</f>
        <v>357.68949780685807</v>
      </c>
      <c r="G46" s="30">
        <f>G38*10^5*G28/3600*LN(G39/G38)/1000</f>
        <v>1707.3923847330336</v>
      </c>
      <c r="I46" s="30">
        <f>I38*10^5*I28/3600*LN(I39/I38)/1000</f>
        <v>240.3463051202223</v>
      </c>
    </row>
    <row r="47" spans="1:9">
      <c r="C47" s="7" t="s">
        <v>117</v>
      </c>
      <c r="D47" s="30">
        <f>(D31*8.314/D32*(D36+273.15)*D33/(D33-1)*((D39/D38)^((D33-1)/D33)-1))/1000</f>
        <v>289.78027562093109</v>
      </c>
      <c r="F47" s="30">
        <f>(F31*8.314/F32*(F36+273.15)*F33/(F33-1)*((F39/F38)^((F33-1)/F33)-1))/1000</f>
        <v>475.37337555367202</v>
      </c>
      <c r="G47" s="30">
        <f>(G31*8.314/G32*(G36+273.15)*G33/(G33-1)*((G39/G38)^((G33-1)/G33)-1))/1000</f>
        <v>2417.5819137589797</v>
      </c>
      <c r="I47" s="30">
        <f>(I31*8.314/I32*(I36+273.15)*I33/(I33-1)*((I39/I38)^((I33-1)/I33)-1))/1000</f>
        <v>294.39693809447647</v>
      </c>
    </row>
    <row r="48" spans="1:9">
      <c r="A48" s="1">
        <f>38.3</f>
        <v>38.299999999999997</v>
      </c>
      <c r="C48" s="7" t="s">
        <v>69</v>
      </c>
      <c r="D48" s="49">
        <v>0.95</v>
      </c>
      <c r="F48" s="49">
        <v>0.95</v>
      </c>
      <c r="G48" s="49">
        <v>0.95</v>
      </c>
      <c r="I48" s="49">
        <v>0.95</v>
      </c>
    </row>
    <row r="49" spans="1:9">
      <c r="A49" s="1">
        <v>35.86</v>
      </c>
      <c r="C49" s="7" t="s">
        <v>131</v>
      </c>
      <c r="D49" s="89">
        <f>D51/(3^0.5*6600*0.91)*1000</f>
        <v>39.848989752193646</v>
      </c>
      <c r="F49" s="89">
        <f>F51/(3^0.5*6600*0.91)*1000</f>
        <v>84.112805936693434</v>
      </c>
      <c r="G49" s="89">
        <f>G51/(3^0.5*6600*0.91)*1000</f>
        <v>400.66534858504161</v>
      </c>
      <c r="I49" s="89">
        <f>I51/(3^0.5*6600*0.91)*1000</f>
        <v>51.879637946435757</v>
      </c>
    </row>
    <row r="50" spans="1:9">
      <c r="A50" s="1">
        <f>A48-A49</f>
        <v>2.4399999999999977</v>
      </c>
    </row>
    <row r="51" spans="1:9">
      <c r="C51" s="7" t="s">
        <v>10</v>
      </c>
      <c r="D51" s="30">
        <f>D45/D52</f>
        <v>414.53697213583206</v>
      </c>
      <c r="F51" s="30">
        <f>F45/F52</f>
        <v>875.00004661790183</v>
      </c>
      <c r="G51" s="30">
        <f>G45/G52</f>
        <v>4168.0002799330114</v>
      </c>
      <c r="I51" s="30">
        <f>I45/I52</f>
        <v>539.68816182183912</v>
      </c>
    </row>
    <row r="52" spans="1:9">
      <c r="C52" s="104" t="s">
        <v>9</v>
      </c>
      <c r="D52" s="49">
        <v>0.54679999999999995</v>
      </c>
      <c r="E52" s="105"/>
      <c r="F52" s="49">
        <v>0.40857734618933467</v>
      </c>
      <c r="G52" s="49">
        <v>0.40890190845964841</v>
      </c>
      <c r="I52" s="49">
        <v>0.45</v>
      </c>
    </row>
    <row r="53" spans="1:9">
      <c r="C53" s="7" t="s">
        <v>118</v>
      </c>
      <c r="D53" s="64">
        <f>D47/D51</f>
        <v>0.6990456704691187</v>
      </c>
      <c r="F53" s="64">
        <f>F47/F51</f>
        <v>0.54328382883076554</v>
      </c>
      <c r="G53" s="64">
        <f>G47/G51</f>
        <v>0.58003400945017103</v>
      </c>
      <c r="I53" s="64">
        <f>I47/I51</f>
        <v>0.54549452613648819</v>
      </c>
    </row>
    <row r="54" spans="1:9">
      <c r="C54" s="7"/>
      <c r="D54" s="64"/>
      <c r="F54" s="64"/>
      <c r="G54" s="64"/>
      <c r="I54" s="64"/>
    </row>
    <row r="55" spans="1:9">
      <c r="C55" s="12" t="s">
        <v>152</v>
      </c>
      <c r="D55" s="74">
        <v>80</v>
      </c>
      <c r="F55" s="74">
        <v>85</v>
      </c>
      <c r="G55" s="74">
        <v>110</v>
      </c>
      <c r="I55" s="74">
        <v>80</v>
      </c>
    </row>
    <row r="56" spans="1:9">
      <c r="C56" s="7" t="s">
        <v>15</v>
      </c>
      <c r="D56" s="145">
        <f>D62+D57</f>
        <v>51.102604758347148</v>
      </c>
      <c r="F56" s="145">
        <f>F62+F57</f>
        <v>48</v>
      </c>
      <c r="G56" s="145">
        <f>G62+G57</f>
        <v>48</v>
      </c>
      <c r="I56" s="145">
        <f>I62+I57</f>
        <v>36.102604758347148</v>
      </c>
    </row>
    <row r="57" spans="1:9">
      <c r="C57" s="12" t="s">
        <v>174</v>
      </c>
      <c r="D57" s="147">
        <v>6.102604758347149</v>
      </c>
      <c r="F57" s="119">
        <v>3</v>
      </c>
      <c r="G57" s="119">
        <v>3</v>
      </c>
      <c r="I57" s="147">
        <v>6.102604758347149</v>
      </c>
    </row>
    <row r="58" spans="1:9">
      <c r="C58" s="12" t="s">
        <v>201</v>
      </c>
      <c r="D58" s="119">
        <v>3</v>
      </c>
      <c r="F58" s="119">
        <v>4</v>
      </c>
      <c r="G58" s="119">
        <v>4</v>
      </c>
      <c r="I58" s="119">
        <v>3</v>
      </c>
    </row>
    <row r="59" spans="1:9">
      <c r="C59" s="12" t="s">
        <v>204</v>
      </c>
      <c r="D59" s="119">
        <v>10</v>
      </c>
      <c r="F59" s="119">
        <v>10</v>
      </c>
      <c r="G59" s="119">
        <v>10</v>
      </c>
      <c r="I59" s="119">
        <v>10</v>
      </c>
    </row>
    <row r="61" spans="1:9">
      <c r="C61" s="7" t="s">
        <v>157</v>
      </c>
      <c r="D61" s="64"/>
      <c r="F61" s="64"/>
      <c r="G61" s="64"/>
      <c r="I61" s="64"/>
    </row>
    <row r="62" spans="1:9">
      <c r="C62" s="113" t="s">
        <v>155</v>
      </c>
      <c r="D62" s="74">
        <v>45</v>
      </c>
      <c r="E62" s="85"/>
      <c r="F62" s="74">
        <v>45</v>
      </c>
      <c r="G62" s="74">
        <v>45</v>
      </c>
      <c r="I62" s="74">
        <v>30</v>
      </c>
    </row>
    <row r="63" spans="1:9">
      <c r="C63" s="113" t="s">
        <v>156</v>
      </c>
      <c r="D63" s="152">
        <v>46.25335682255993</v>
      </c>
      <c r="E63" s="85"/>
      <c r="F63" s="100">
        <f>F62+F64</f>
        <v>45.916344672285355</v>
      </c>
      <c r="G63" s="100">
        <f>G62+G64</f>
        <v>46.28544635268608</v>
      </c>
      <c r="I63" s="152">
        <v>32.30556101747198</v>
      </c>
    </row>
    <row r="64" spans="1:9">
      <c r="C64" s="114" t="s">
        <v>203</v>
      </c>
      <c r="D64" s="111">
        <f>D63-D62</f>
        <v>1.2533568225599296</v>
      </c>
      <c r="E64" s="85"/>
      <c r="F64" s="152">
        <v>0.9163446722853531</v>
      </c>
      <c r="G64" s="152">
        <v>1.2854463526860782</v>
      </c>
      <c r="I64" s="111">
        <f>I63-I62</f>
        <v>2.3055610174719803</v>
      </c>
    </row>
    <row r="65" spans="3:9">
      <c r="C65" s="114" t="s">
        <v>163</v>
      </c>
      <c r="D65" s="150">
        <f>D69*1000/((D63-D62)*4.18)/1000*3600/1000</f>
        <v>30.936115065578793</v>
      </c>
      <c r="E65" s="85"/>
      <c r="F65" s="150">
        <f>F69*1000/((F63-F62)*4.18)/1000*3600/1000</f>
        <v>70.611101579614555</v>
      </c>
      <c r="G65" s="150">
        <f>G69*1000/((G63-G62)*4.18)/1000*3600/1000</f>
        <v>331.31317177674708</v>
      </c>
      <c r="I65" s="150">
        <f>I69*1000/((I63-I62)*4.18)/1000*3600/1000</f>
        <v>36.779444800060332</v>
      </c>
    </row>
    <row r="66" spans="3:9">
      <c r="C66" s="114" t="s">
        <v>169</v>
      </c>
      <c r="D66" s="111">
        <f>D55</f>
        <v>80</v>
      </c>
      <c r="E66" s="85"/>
      <c r="F66" s="111">
        <f>F55</f>
        <v>85</v>
      </c>
      <c r="G66" s="111">
        <f>G55</f>
        <v>110</v>
      </c>
      <c r="I66" s="111">
        <f>I55</f>
        <v>80</v>
      </c>
    </row>
    <row r="67" spans="3:9">
      <c r="C67" s="114" t="s">
        <v>170</v>
      </c>
      <c r="D67" s="111">
        <f>D56</f>
        <v>51.102604758347148</v>
      </c>
      <c r="E67" s="85"/>
      <c r="F67" s="111">
        <f>F56</f>
        <v>48</v>
      </c>
      <c r="G67" s="111">
        <f>G56</f>
        <v>48</v>
      </c>
      <c r="I67" s="111">
        <f>I56</f>
        <v>36.102604758347148</v>
      </c>
    </row>
    <row r="68" spans="3:9">
      <c r="C68" s="112" t="s">
        <v>133</v>
      </c>
      <c r="D68" s="100">
        <f>((D67-D62)-(D66-D63))/LN((D67-D62)/(D66-D63))</f>
        <v>16.164542131497182</v>
      </c>
      <c r="E68" s="85"/>
      <c r="F68" s="100">
        <f>((F67-F62)-(F66-F63))/LN((F67-F62)/(F66-F63))</f>
        <v>14.05623731568544</v>
      </c>
      <c r="G68" s="100">
        <f>((G67-G62)-(G66-G63))/LN((G67-G62)/(G66-G63))</f>
        <v>19.868623388817117</v>
      </c>
      <c r="I68" s="100">
        <f>((I67-I62)-(I66-I63))/LN((I67-I62)/(I66-I63))</f>
        <v>20.228516151570823</v>
      </c>
    </row>
    <row r="69" spans="3:9">
      <c r="C69" s="115" t="s">
        <v>205</v>
      </c>
      <c r="D69" s="30">
        <f>D31*D34*(D66-D67)/1000</f>
        <v>45.020911633982891</v>
      </c>
      <c r="E69" s="85"/>
      <c r="F69" s="30">
        <f>F31*F34*(F66-F67)/1000</f>
        <v>75.128657266478214</v>
      </c>
      <c r="G69" s="30">
        <f>G31*G34*(G66-G67)/1000</f>
        <v>494.50016347650399</v>
      </c>
      <c r="I69" s="30">
        <f>I31*I34*(I66-I67)/1000</f>
        <v>98.459034014632564</v>
      </c>
    </row>
    <row r="70" spans="3:9">
      <c r="C70" s="115" t="s">
        <v>161</v>
      </c>
      <c r="D70" s="18">
        <f>D69/D68</f>
        <v>2.785164668924216</v>
      </c>
      <c r="E70" s="85"/>
      <c r="F70" s="18">
        <f>F69/F68</f>
        <v>5.3448626100415719</v>
      </c>
      <c r="G70" s="18">
        <f>G69/G68</f>
        <v>24.888496490140788</v>
      </c>
      <c r="I70" s="18">
        <f>I69/I68</f>
        <v>4.8673384284287629</v>
      </c>
    </row>
    <row r="71" spans="3:9">
      <c r="C71" s="115" t="s">
        <v>165</v>
      </c>
      <c r="D71" s="103">
        <v>0</v>
      </c>
      <c r="E71" s="85"/>
      <c r="F71" s="103">
        <v>0</v>
      </c>
      <c r="G71" s="103">
        <v>0</v>
      </c>
      <c r="I71" s="103">
        <v>0</v>
      </c>
    </row>
    <row r="72" spans="3:9">
      <c r="C72" s="112" t="s">
        <v>162</v>
      </c>
      <c r="D72" s="92">
        <f>D70*D68</f>
        <v>45.020911633982891</v>
      </c>
      <c r="E72" s="85"/>
      <c r="F72" s="92">
        <f>F70*F68</f>
        <v>75.128657266478214</v>
      </c>
      <c r="G72" s="92">
        <f>G70*G68</f>
        <v>494.50016347650399</v>
      </c>
      <c r="I72" s="92">
        <f>I70*I68</f>
        <v>98.459034014632579</v>
      </c>
    </row>
    <row r="73" spans="3:9">
      <c r="C73" s="115" t="s">
        <v>164</v>
      </c>
      <c r="E73" s="124"/>
    </row>
    <row r="75" spans="3:9">
      <c r="C75" s="7" t="s">
        <v>158</v>
      </c>
      <c r="D75" s="74"/>
      <c r="E75" s="85"/>
      <c r="F75" s="74"/>
      <c r="G75" s="74"/>
      <c r="I75" s="74"/>
    </row>
    <row r="76" spans="3:9">
      <c r="C76" s="113" t="s">
        <v>155</v>
      </c>
      <c r="D76" s="111">
        <f>D63</f>
        <v>46.25335682255993</v>
      </c>
      <c r="E76" s="85"/>
      <c r="F76" s="111">
        <f>F63</f>
        <v>45.916344672285355</v>
      </c>
      <c r="G76" s="111">
        <f>G63</f>
        <v>46.28544635268608</v>
      </c>
      <c r="I76" s="111">
        <f>I63</f>
        <v>32.30556101747198</v>
      </c>
    </row>
    <row r="77" spans="3:9">
      <c r="C77" s="113" t="s">
        <v>156</v>
      </c>
      <c r="D77" s="100">
        <f>D62+D59</f>
        <v>55</v>
      </c>
      <c r="E77" s="85"/>
      <c r="F77" s="100">
        <f>F62+F59</f>
        <v>55</v>
      </c>
      <c r="G77" s="100">
        <f>G62+G59</f>
        <v>55</v>
      </c>
      <c r="I77" s="100">
        <f>I62+I59</f>
        <v>40</v>
      </c>
    </row>
    <row r="78" spans="3:9">
      <c r="C78" s="114" t="s">
        <v>163</v>
      </c>
      <c r="D78" s="150">
        <f>D86*1000/((D77-D76)*4.18)/1000*3600/1000</f>
        <v>30.93612667338272</v>
      </c>
      <c r="E78" s="85"/>
      <c r="F78" s="150">
        <f>F86*1000/((F77-F76)*4.18)/1000*3600/1000</f>
        <v>70.611093565179516</v>
      </c>
      <c r="G78" s="150">
        <f>G86*1000/((G77-G76)*4.18)/1000*3600/1000</f>
        <v>331.31316291976009</v>
      </c>
      <c r="I78" s="150">
        <f>I86*1000/((I77-I76)*4.18)/1000*3600/1000</f>
        <v>36.779443166237122</v>
      </c>
    </row>
    <row r="79" spans="3:9">
      <c r="C79" s="114" t="s">
        <v>159</v>
      </c>
      <c r="D79" s="111">
        <f>D55</f>
        <v>80</v>
      </c>
      <c r="E79" s="85"/>
      <c r="F79" s="111">
        <f>F55</f>
        <v>85</v>
      </c>
      <c r="G79" s="111">
        <f>G55</f>
        <v>110</v>
      </c>
      <c r="I79" s="111">
        <f>I55</f>
        <v>80</v>
      </c>
    </row>
    <row r="80" spans="3:9">
      <c r="C80" s="114" t="s">
        <v>192</v>
      </c>
      <c r="D80" s="74">
        <f>D76+D58</f>
        <v>49.25335682255993</v>
      </c>
      <c r="E80" s="85"/>
      <c r="F80" s="74">
        <f>F76+F58</f>
        <v>49.916344672285355</v>
      </c>
      <c r="G80" s="74">
        <f>G76+G58</f>
        <v>50.28544635268608</v>
      </c>
      <c r="I80" s="74">
        <f>I76+I58</f>
        <v>35.30556101747198</v>
      </c>
    </row>
    <row r="81" spans="3:9">
      <c r="C81" s="114" t="s">
        <v>194</v>
      </c>
      <c r="D81" s="74">
        <f>D76+D58</f>
        <v>49.25335682255993</v>
      </c>
      <c r="E81" s="85"/>
      <c r="F81" s="74">
        <f>F76+F58</f>
        <v>49.916344672285355</v>
      </c>
      <c r="G81" s="74">
        <f>G76+G58</f>
        <v>50.28544635268608</v>
      </c>
      <c r="I81" s="74">
        <f>I76+I58</f>
        <v>35.30556101747198</v>
      </c>
    </row>
    <row r="82" spans="3:9">
      <c r="C82" s="114" t="s">
        <v>21</v>
      </c>
      <c r="D82" s="86">
        <v>1.95</v>
      </c>
      <c r="E82" s="85"/>
      <c r="F82" s="83">
        <v>2.17</v>
      </c>
      <c r="G82" s="83">
        <v>2.17</v>
      </c>
      <c r="I82" s="86">
        <v>1.95</v>
      </c>
    </row>
    <row r="83" spans="3:9">
      <c r="C83" s="114" t="s">
        <v>22</v>
      </c>
      <c r="D83" s="16">
        <v>980</v>
      </c>
      <c r="E83" s="85"/>
      <c r="F83" s="87">
        <v>835</v>
      </c>
      <c r="G83" s="87">
        <v>835</v>
      </c>
      <c r="I83" s="16">
        <v>980</v>
      </c>
    </row>
    <row r="84" spans="3:9">
      <c r="C84" s="7" t="s">
        <v>26</v>
      </c>
      <c r="D84" s="13">
        <f>(273.15+D36)*(D39/D38)^((D33-1)/D33)-273.15</f>
        <v>220.97142554719824</v>
      </c>
      <c r="F84" s="13">
        <f>(273.15+F36)*(F39/F38)^((F33-1)/F33)-273.15</f>
        <v>284.2646408146868</v>
      </c>
      <c r="G84" s="13">
        <f>(273.15+G36)*(G39/G38)^((G33-1)/G33)-273.15</f>
        <v>353.80147449143203</v>
      </c>
      <c r="I84" s="13">
        <f>(273.15+I36)*(I39/I38)^((I33-1)/I33)-273.15</f>
        <v>159.91521428058377</v>
      </c>
    </row>
    <row r="85" spans="3:9">
      <c r="C85" s="7" t="s">
        <v>74</v>
      </c>
      <c r="D85" s="13">
        <f>D84-D55</f>
        <v>140.97142554719824</v>
      </c>
      <c r="F85" s="13">
        <f>F84-F55</f>
        <v>199.2646408146868</v>
      </c>
      <c r="G85" s="13">
        <f>G84-G55</f>
        <v>243.80147449143203</v>
      </c>
      <c r="I85" s="13">
        <f>I84-I55</f>
        <v>79.915214280583768</v>
      </c>
    </row>
    <row r="86" spans="3:9">
      <c r="C86" s="7" t="s">
        <v>135</v>
      </c>
      <c r="D86" s="92">
        <f>D34*D85*D31/1000/D53</f>
        <v>314.18187562539129</v>
      </c>
      <c r="E86" s="25"/>
      <c r="F86" s="92">
        <f>F34*F85*F31/1000/F53</f>
        <v>744.74460432306626</v>
      </c>
      <c r="G86" s="92">
        <f>G34*G85*G31/1000/G53</f>
        <v>3352.4137969779486</v>
      </c>
      <c r="I86" s="92">
        <f>I34*I85*I31/1000/I53</f>
        <v>328.59117156710801</v>
      </c>
    </row>
    <row r="87" spans="3:9">
      <c r="C87" s="7" t="s">
        <v>190</v>
      </c>
      <c r="D87" s="141">
        <f>D86/(D82*(D55-D81))*3600</f>
        <v>18864.761097017352</v>
      </c>
      <c r="F87" s="141">
        <f>F86/(F82*(F55-F81))*3600</f>
        <v>35216.427450978903</v>
      </c>
      <c r="G87" s="141">
        <f>G86/(G82*(G55-G81))*3600</f>
        <v>93136.560566120359</v>
      </c>
      <c r="I87" s="141">
        <f>I86/(I82*(I55-I81))*3600</f>
        <v>13572.826262299859</v>
      </c>
    </row>
    <row r="88" spans="3:9">
      <c r="C88" s="7" t="s">
        <v>124</v>
      </c>
      <c r="D88" s="22">
        <f>D87/D83</f>
        <v>19.249756221446276</v>
      </c>
      <c r="F88" s="22">
        <f>F87/F83</f>
        <v>42.175362216741199</v>
      </c>
      <c r="G88" s="22">
        <f>G87/G83</f>
        <v>111.54079109715013</v>
      </c>
      <c r="I88" s="22">
        <f>I87/I83</f>
        <v>13.849822716632509</v>
      </c>
    </row>
    <row r="89" spans="3:9">
      <c r="C89" s="7" t="s">
        <v>195</v>
      </c>
      <c r="D89" s="103">
        <v>0</v>
      </c>
      <c r="F89" s="103">
        <v>0</v>
      </c>
      <c r="G89" s="103">
        <v>0</v>
      </c>
      <c r="I89" s="103">
        <v>0</v>
      </c>
    </row>
    <row r="90" spans="3:9">
      <c r="C90" s="7" t="s">
        <v>124</v>
      </c>
      <c r="D90" s="153">
        <f>D88*1000/60</f>
        <v>320.82927035743796</v>
      </c>
      <c r="F90" s="153">
        <f>F88*1000/60</f>
        <v>702.9227036123533</v>
      </c>
      <c r="G90" s="153">
        <f>G88*1000/60</f>
        <v>1859.0131849525023</v>
      </c>
      <c r="H90" s="1">
        <f>F90/D90</f>
        <v>2.1909556532333307</v>
      </c>
      <c r="I90" s="153">
        <f>I88*1000/60</f>
        <v>230.8303786105418</v>
      </c>
    </row>
    <row r="91" spans="3:9">
      <c r="C91" s="7" t="s">
        <v>172</v>
      </c>
      <c r="D91" s="93">
        <v>0.92255515242259667</v>
      </c>
      <c r="E91" s="106"/>
      <c r="F91" s="93">
        <v>0.92255515242259667</v>
      </c>
      <c r="G91" s="93">
        <v>0.92255515242259667</v>
      </c>
      <c r="I91" s="93">
        <v>0.92255515242259667</v>
      </c>
    </row>
    <row r="92" spans="3:9">
      <c r="C92" s="7" t="s">
        <v>171</v>
      </c>
      <c r="D92" s="18">
        <f>((D79-D77)-(D81-D76))/LN((D79-D77)/(D81-D76))*D91</f>
        <v>9.5724955915960042</v>
      </c>
      <c r="F92" s="18">
        <f>((F79-F77)-(F81-F76))/LN((F79-F77)/(F81-F76))*F91</f>
        <v>11.904510399975537</v>
      </c>
      <c r="G92" s="18">
        <f>((G79-G77)-(G81-G76))/LN((G79-G77)/(G81-G76))*G91</f>
        <v>17.951017108448408</v>
      </c>
      <c r="I92" s="18">
        <f>((I79-I77)-(I81-I76))/LN((I79-I77)/(I81-I76))*I91</f>
        <v>13.177999974284882</v>
      </c>
    </row>
    <row r="93" spans="3:9">
      <c r="C93" s="7" t="s">
        <v>150</v>
      </c>
      <c r="D93" s="18">
        <f>D86/D92</f>
        <v>32.821313169495888</v>
      </c>
      <c r="F93" s="18">
        <f>F86/F92</f>
        <v>62.559868428070473</v>
      </c>
      <c r="G93" s="18">
        <f>G86/G92</f>
        <v>186.75341774367647</v>
      </c>
      <c r="H93" s="1">
        <f>F93/D93</f>
        <v>1.9060745103341443</v>
      </c>
      <c r="I93" s="18">
        <f>I86/I92</f>
        <v>24.93482866962438</v>
      </c>
    </row>
    <row r="94" spans="3:9">
      <c r="C94" s="115" t="s">
        <v>165</v>
      </c>
      <c r="D94" s="103">
        <v>0</v>
      </c>
      <c r="F94" s="103">
        <v>0</v>
      </c>
      <c r="G94" s="103">
        <v>0</v>
      </c>
      <c r="I94" s="103">
        <v>0</v>
      </c>
    </row>
    <row r="95" spans="3:9">
      <c r="C95" s="7" t="s">
        <v>148</v>
      </c>
      <c r="D95" s="92">
        <f>D93*D92</f>
        <v>314.18187562539129</v>
      </c>
      <c r="F95" s="92">
        <f>F93*F92</f>
        <v>744.74460432306626</v>
      </c>
      <c r="G95" s="92">
        <f>G93*G92</f>
        <v>3352.4137969779486</v>
      </c>
      <c r="I95" s="92">
        <f>I93*I92</f>
        <v>328.59117156710801</v>
      </c>
    </row>
    <row r="96" spans="3:9">
      <c r="C96" s="115" t="s">
        <v>164</v>
      </c>
      <c r="E96" s="122"/>
    </row>
    <row r="97" spans="3:9">
      <c r="C97" s="1" t="s">
        <v>218</v>
      </c>
      <c r="D97" s="1">
        <f>49.6*0.227</f>
        <v>11.2592</v>
      </c>
    </row>
    <row r="98" spans="3:9">
      <c r="C98" s="1" t="s">
        <v>202</v>
      </c>
      <c r="D98" s="151">
        <f>D65-D78</f>
        <v>-1.16078039269496E-5</v>
      </c>
      <c r="F98" s="151">
        <f>F65-F78</f>
        <v>8.0144350391719854E-6</v>
      </c>
      <c r="G98" s="151">
        <f>G65-G78</f>
        <v>8.85698699448767E-6</v>
      </c>
      <c r="I98" s="151">
        <f>I65-I78</f>
        <v>1.6338232100565619E-6</v>
      </c>
    </row>
    <row r="99" spans="3:9">
      <c r="C99" s="43" t="s">
        <v>104</v>
      </c>
      <c r="D99" s="75">
        <f>D30/D102</f>
        <v>2174.5794313701022</v>
      </c>
      <c r="F99" s="75">
        <f>F30/F102</f>
        <v>2279.5582805351096</v>
      </c>
      <c r="G99" s="75">
        <f>G30/G102</f>
        <v>1763.2190330292399</v>
      </c>
      <c r="I99" s="75">
        <f>I30/I102</f>
        <v>1058.4331707053725</v>
      </c>
    </row>
    <row r="100" spans="3:9">
      <c r="C100" s="43" t="s">
        <v>105</v>
      </c>
      <c r="D100" s="63">
        <f>D88/(D99+D160)</f>
        <v>8.8521743302418226E-3</v>
      </c>
      <c r="F100" s="63">
        <f>F88/(F99+F160)</f>
        <v>1.8501550312124873E-2</v>
      </c>
      <c r="G100" s="63">
        <f>G88/(G99+G160)</f>
        <v>6.3259747659098933E-2</v>
      </c>
      <c r="I100" s="63">
        <f>I88/(I99+I160)</f>
        <v>1.3085212274103768E-2</v>
      </c>
    </row>
    <row r="101" spans="3:9">
      <c r="C101" s="43" t="s">
        <v>119</v>
      </c>
      <c r="D101" s="1">
        <f>[1]!density(D13,"TP","SI with C",D36,D38/10)</f>
        <v>0.15825729266954072</v>
      </c>
      <c r="F101" s="1">
        <f>[1]!density(F13,"TP","SI with C",F36,F38/10)</f>
        <v>0.1563484921404503</v>
      </c>
      <c r="G101" s="1">
        <f>[1]!density(G13,"TP","SI with C",G36,G38/10)</f>
        <v>0.59781638993454889</v>
      </c>
      <c r="I101" s="1">
        <f>[1]!density(I13,"TP","SI with C",I36,I38/10)</f>
        <v>0.69421565021879217</v>
      </c>
    </row>
    <row r="102" spans="3:9">
      <c r="C102" s="43" t="s">
        <v>120</v>
      </c>
      <c r="D102" s="1">
        <f>[1]!density(D13,"TP","SI with C",D63,D39/10)</f>
        <v>0.49664775837576175</v>
      </c>
      <c r="F102" s="1">
        <f>[1]!density(F13,"TP","SI with C",F63,F39/10)</f>
        <v>0.61747947880995269</v>
      </c>
      <c r="G102" s="1">
        <f>[1]!density(G13,"TP","SI with C",G63,G39/10)</f>
        <v>3.1357056980397648</v>
      </c>
      <c r="I102" s="1">
        <f>[1]!density(I13,"TP","SI with C",I63,I39/10)</f>
        <v>3.5261166990244281</v>
      </c>
    </row>
    <row r="103" spans="3:9">
      <c r="C103" s="43" t="s">
        <v>126</v>
      </c>
      <c r="D103" s="1">
        <f>[1]!density("helium","TP","SI with C",0,1/10)</f>
        <v>0.1761481440000498</v>
      </c>
      <c r="F103" s="1">
        <f>[1]!density("helium","TP","SI with C",0,1/10)</f>
        <v>0.1761481440000498</v>
      </c>
      <c r="G103" s="1">
        <f>[1]!density("helium","TP","SI with C",0,1/10)</f>
        <v>0.1761481440000498</v>
      </c>
      <c r="I103" s="1">
        <f>[1]!density("helium","TP","SI with C",0,1/10)</f>
        <v>0.1761481440000498</v>
      </c>
    </row>
    <row r="106" spans="3:9">
      <c r="C106" s="12" t="s">
        <v>166</v>
      </c>
      <c r="D106" s="119">
        <f>D77-D62</f>
        <v>10</v>
      </c>
      <c r="F106" s="119">
        <f>F77-F62</f>
        <v>10</v>
      </c>
      <c r="G106" s="119">
        <f>G77-G62</f>
        <v>10</v>
      </c>
      <c r="I106" s="119">
        <f>I77-I62</f>
        <v>10</v>
      </c>
    </row>
    <row r="107" spans="3:9">
      <c r="C107" s="7" t="s">
        <v>17</v>
      </c>
      <c r="D107" s="28">
        <f>D51/(D106*4.18)*3.6</f>
        <v>35.701748796387449</v>
      </c>
      <c r="F107" s="28">
        <f>F51/(F106*4.18)*3.6*0.9</f>
        <v>67.82297012062206</v>
      </c>
      <c r="G107" s="28">
        <f>G51/(G106*4.18)*3.6*0.9</f>
        <v>323.06987815748704</v>
      </c>
      <c r="H107" s="1">
        <f>F78/F107</f>
        <v>1.0411088373098203</v>
      </c>
      <c r="I107" s="28">
        <f>I51/(I106*4.18)*3.6</f>
        <v>46.48032015690481</v>
      </c>
    </row>
    <row r="108" spans="3:9">
      <c r="F108" s="153">
        <f>F107*1000/60</f>
        <v>1130.3828353437011</v>
      </c>
      <c r="G108" s="153">
        <f>G107*1000/60</f>
        <v>5384.4979692914503</v>
      </c>
    </row>
    <row r="109" spans="3:9">
      <c r="C109" s="1" t="s">
        <v>167</v>
      </c>
      <c r="D109" s="97">
        <f>D86+D72</f>
        <v>359.20278725937419</v>
      </c>
      <c r="E109" s="97"/>
      <c r="F109" s="97">
        <f>F86+F72</f>
        <v>819.87326158954443</v>
      </c>
      <c r="G109" s="97">
        <f>G86+G72</f>
        <v>3846.9139604544525</v>
      </c>
      <c r="I109" s="97">
        <f>I86+I72</f>
        <v>427.05020558174056</v>
      </c>
    </row>
    <row r="110" spans="3:9">
      <c r="C110" s="1" t="s">
        <v>168</v>
      </c>
      <c r="D110" s="97">
        <f>D51</f>
        <v>414.53697213583206</v>
      </c>
      <c r="F110" s="97">
        <f>F51</f>
        <v>875.00004661790183</v>
      </c>
      <c r="G110" s="97">
        <f>G51</f>
        <v>4168.0002799330114</v>
      </c>
      <c r="I110" s="97">
        <f>I51</f>
        <v>539.68816182183912</v>
      </c>
    </row>
    <row r="111" spans="3:9">
      <c r="D111" s="97">
        <f>D109-D110</f>
        <v>-55.334184876457869</v>
      </c>
      <c r="F111" s="97">
        <f>F109-F110</f>
        <v>-55.126785028357403</v>
      </c>
      <c r="G111" s="97">
        <f>G109-G110</f>
        <v>-321.08631947855883</v>
      </c>
      <c r="I111" s="97">
        <f>I109-I110</f>
        <v>-112.63795624009856</v>
      </c>
    </row>
    <row r="114" spans="2:9">
      <c r="B114" s="99"/>
      <c r="C114" s="7"/>
      <c r="D114" s="9"/>
      <c r="E114" s="85"/>
      <c r="F114" s="9"/>
      <c r="G114" s="9"/>
      <c r="I114" s="9"/>
    </row>
    <row r="115" spans="2:9">
      <c r="B115" s="99"/>
      <c r="E115" s="85"/>
    </row>
    <row r="132" spans="3:9">
      <c r="C132" s="1" t="s">
        <v>137</v>
      </c>
    </row>
    <row r="133" spans="3:9">
      <c r="C133" s="1" t="s">
        <v>153</v>
      </c>
    </row>
    <row r="141" spans="3:9">
      <c r="C141" s="17" t="s">
        <v>23</v>
      </c>
      <c r="D141" s="18">
        <f>D142/D83*10^6</f>
        <v>11.288071981352864</v>
      </c>
      <c r="F141" s="18">
        <f>F142/F83*10^6</f>
        <v>11.708581486437197</v>
      </c>
      <c r="G141" s="18">
        <f>G142/G83*10^6</f>
        <v>7.1034278817186189</v>
      </c>
      <c r="I141" s="18">
        <f>I142/I83*10^6</f>
        <v>11.288071981352864</v>
      </c>
    </row>
    <row r="142" spans="3:9">
      <c r="C142" s="17" t="s">
        <v>24</v>
      </c>
      <c r="D142" s="19">
        <f>[2]!mu_("BREOXB35",D39,D55+273)</f>
        <v>1.1062310541725807E-2</v>
      </c>
      <c r="F142" s="19">
        <f>[2]!mu_("BREOXB35",F39,F55+273)</f>
        <v>9.77666554117506E-3</v>
      </c>
      <c r="G142" s="19">
        <f>[2]!mu_("BREOXB35",G39,G55+273)</f>
        <v>5.9313622812350465E-3</v>
      </c>
      <c r="I142" s="19">
        <f>[2]!mu_("BREOXB35",I39,I55+273)</f>
        <v>1.1062310541725807E-2</v>
      </c>
    </row>
    <row r="145" spans="3:9">
      <c r="D145" s="97">
        <f>D86-D95</f>
        <v>0</v>
      </c>
      <c r="F145" s="97">
        <f>F86-F95</f>
        <v>0</v>
      </c>
      <c r="G145" s="97">
        <f>G86-G95</f>
        <v>0</v>
      </c>
      <c r="I145" s="97">
        <f>I86-I95</f>
        <v>0</v>
      </c>
    </row>
    <row r="146" spans="3:9">
      <c r="D146" s="1">
        <f>D93/429.82</f>
        <v>7.6360600180298471E-2</v>
      </c>
      <c r="F146" s="1">
        <f>F93/429.82</f>
        <v>0.14554899359748377</v>
      </c>
      <c r="G146" s="1">
        <f>G93/429.82</f>
        <v>0.43449215425917004</v>
      </c>
      <c r="I146" s="1">
        <f>I93/429.82</f>
        <v>5.8012257851250248E-2</v>
      </c>
    </row>
    <row r="147" spans="3:9">
      <c r="C147" s="1" t="s">
        <v>136</v>
      </c>
      <c r="D147" s="1">
        <v>0.14510000000000001</v>
      </c>
      <c r="F147" s="1">
        <v>0.14510000000000001</v>
      </c>
      <c r="G147" s="1">
        <v>0.14510000000000001</v>
      </c>
      <c r="I147" s="1">
        <v>0.14510000000000001</v>
      </c>
    </row>
    <row r="148" spans="3:9">
      <c r="D148" s="1">
        <v>0.62909999999999999</v>
      </c>
      <c r="F148" s="1">
        <v>0.62909999999999999</v>
      </c>
      <c r="G148" s="1">
        <v>0.62909999999999999</v>
      </c>
      <c r="I148" s="1">
        <v>0.62909999999999999</v>
      </c>
    </row>
    <row r="149" spans="3:9">
      <c r="D149" s="1">
        <f>1/(1/D147+1/D148)</f>
        <v>0.11790546370446912</v>
      </c>
      <c r="F149" s="1">
        <f>1/(1/F147+1/F148)</f>
        <v>0.11790546370446912</v>
      </c>
      <c r="G149" s="1">
        <f>1/(1/G147+1/G148)</f>
        <v>0.11790546370446912</v>
      </c>
      <c r="I149" s="1">
        <f>1/(1/I147+1/I148)</f>
        <v>0.11790546370446912</v>
      </c>
    </row>
    <row r="150" spans="3:9">
      <c r="C150"/>
    </row>
    <row r="151" spans="3:9">
      <c r="C151"/>
    </row>
    <row r="152" spans="3:9" ht="15">
      <c r="C152" s="65" t="s">
        <v>137</v>
      </c>
      <c r="D152" s="1">
        <f>2895.06*10^3</f>
        <v>2895060</v>
      </c>
      <c r="E152" s="1" t="s">
        <v>142</v>
      </c>
      <c r="F152" s="1">
        <f>2895.06*10^3</f>
        <v>2895060</v>
      </c>
      <c r="G152" s="1">
        <f>2895.06*10^3</f>
        <v>2895060</v>
      </c>
      <c r="I152" s="1">
        <f>2895.06*10^3</f>
        <v>2895060</v>
      </c>
    </row>
    <row r="153" spans="3:9">
      <c r="C153" s="1" t="s">
        <v>133</v>
      </c>
      <c r="D153" s="1">
        <f>20.43</f>
        <v>20.43</v>
      </c>
      <c r="F153" s="1">
        <f>20.43</f>
        <v>20.43</v>
      </c>
      <c r="G153" s="1">
        <f>20.43</f>
        <v>20.43</v>
      </c>
      <c r="I153" s="1">
        <f>20.43</f>
        <v>20.43</v>
      </c>
    </row>
    <row r="154" spans="3:9">
      <c r="C154" s="1" t="s">
        <v>145</v>
      </c>
      <c r="D154" s="1">
        <v>429.82</v>
      </c>
      <c r="E154" s="1" t="s">
        <v>146</v>
      </c>
      <c r="F154" s="1">
        <v>429.82</v>
      </c>
      <c r="G154" s="1">
        <v>429.82</v>
      </c>
      <c r="I154" s="1">
        <v>429.82</v>
      </c>
    </row>
    <row r="155" spans="3:9">
      <c r="C155" s="1" t="s">
        <v>144</v>
      </c>
      <c r="D155" s="1">
        <f>D152/(D153*D154)</f>
        <v>329.68757676180536</v>
      </c>
      <c r="E155" s="1" t="s">
        <v>143</v>
      </c>
      <c r="F155" s="1">
        <f>F152/(F153*F154)</f>
        <v>329.68757676180536</v>
      </c>
      <c r="G155" s="1">
        <f>G152/(G153*G154)</f>
        <v>329.68757676180536</v>
      </c>
      <c r="I155" s="1">
        <f>I152/(I153*I154)</f>
        <v>329.68757676180536</v>
      </c>
    </row>
    <row r="156" spans="3:9">
      <c r="D156" s="1">
        <f>374/D155</f>
        <v>1.1344073188120454</v>
      </c>
      <c r="F156" s="1">
        <f>374/F155</f>
        <v>1.1344073188120454</v>
      </c>
      <c r="G156" s="1">
        <f>374/G155</f>
        <v>1.1344073188120454</v>
      </c>
      <c r="I156" s="1">
        <f>374/I155</f>
        <v>1.1344073188120454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56"/>
  <sheetViews>
    <sheetView tabSelected="1" topLeftCell="A24" zoomScale="85" zoomScaleNormal="85" workbookViewId="0">
      <selection activeCell="D46" sqref="D46"/>
    </sheetView>
  </sheetViews>
  <sheetFormatPr defaultRowHeight="12.75" outlineLevelRow="1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2.85546875" style="1" customWidth="1"/>
    <col min="6" max="6" width="24" style="1" customWidth="1"/>
    <col min="7" max="16384" width="9.140625" style="1"/>
  </cols>
  <sheetData>
    <row r="1" spans="1:6">
      <c r="C1" s="133" t="s">
        <v>177</v>
      </c>
    </row>
    <row r="2" spans="1:6">
      <c r="A2" s="43" t="s">
        <v>66</v>
      </c>
      <c r="B2" s="20">
        <f>[1]!MolarMass("air")</f>
        <v>28.958600656000002</v>
      </c>
      <c r="C2" s="133" t="s">
        <v>178</v>
      </c>
    </row>
    <row r="3" spans="1:6">
      <c r="A3" s="43"/>
      <c r="B3" s="20"/>
      <c r="C3" s="131" t="s">
        <v>180</v>
      </c>
      <c r="D3" s="132">
        <v>2.63</v>
      </c>
      <c r="F3" s="132">
        <v>2.63</v>
      </c>
    </row>
    <row r="4" spans="1:6">
      <c r="A4" s="43" t="s">
        <v>64</v>
      </c>
      <c r="B4" s="20">
        <f>[1]!density("air","TP","SI with C",0,1/10)</f>
        <v>1.2758162153163073</v>
      </c>
      <c r="C4" s="134" t="s">
        <v>181</v>
      </c>
      <c r="D4" s="135">
        <v>3.65</v>
      </c>
      <c r="F4" s="135">
        <v>3.65</v>
      </c>
    </row>
    <row r="5" spans="1:6">
      <c r="C5" s="131" t="s">
        <v>182</v>
      </c>
      <c r="D5" s="132">
        <v>5.8</v>
      </c>
      <c r="F5" s="132">
        <v>5.8</v>
      </c>
    </row>
    <row r="6" spans="1:6">
      <c r="C6" s="1" t="s">
        <v>178</v>
      </c>
      <c r="D6" s="1">
        <f>D4^1.66</f>
        <v>8.5783972744961066</v>
      </c>
      <c r="F6" s="1">
        <f>F4^1.66</f>
        <v>8.5783972744961066</v>
      </c>
    </row>
    <row r="8" spans="1:6">
      <c r="A8" s="1">
        <f>[1]!MolarMass(C15)</f>
        <v>4.0026020000000004</v>
      </c>
    </row>
    <row r="9" spans="1:6">
      <c r="A9" s="1">
        <f>[1]!MolarMass(C16)</f>
        <v>28.013480000000001</v>
      </c>
      <c r="D9" s="1" t="s">
        <v>208</v>
      </c>
      <c r="F9" s="1" t="s">
        <v>208</v>
      </c>
    </row>
    <row r="10" spans="1:6">
      <c r="A10" s="1">
        <f>[1]!MolarMass(C17)</f>
        <v>16.0428</v>
      </c>
    </row>
    <row r="11" spans="1:6">
      <c r="A11" s="1">
        <f>[1]!MolarMass(C18)</f>
        <v>39.948</v>
      </c>
      <c r="D11" s="157" t="s">
        <v>221</v>
      </c>
      <c r="F11" s="157" t="s">
        <v>222</v>
      </c>
    </row>
    <row r="12" spans="1:6">
      <c r="A12" s="1">
        <f>[1]!MolarMass(C19)</f>
        <v>2.0158800000000001</v>
      </c>
      <c r="D12" s="155"/>
      <c r="F12" s="155"/>
    </row>
    <row r="13" spans="1:6">
      <c r="A13" s="1">
        <f>[1]!MolarMass(C20)</f>
        <v>28.958600656000002</v>
      </c>
      <c r="C13" s="7" t="s">
        <v>123</v>
      </c>
      <c r="D13" s="144" t="s">
        <v>54</v>
      </c>
      <c r="F13" s="144" t="s">
        <v>54</v>
      </c>
    </row>
    <row r="14" spans="1:6" hidden="1" outlineLevel="1">
      <c r="A14" s="1">
        <f>[1]!MolarMass(C21)</f>
        <v>28.010100000000001</v>
      </c>
      <c r="C14" s="32" t="s">
        <v>48</v>
      </c>
      <c r="D14" s="32" t="s">
        <v>49</v>
      </c>
      <c r="F14" s="32" t="s">
        <v>49</v>
      </c>
    </row>
    <row r="15" spans="1:6" hidden="1" outlineLevel="1">
      <c r="A15" s="1">
        <f>[1]!MolarMass(C22)</f>
        <v>31.998799999999999</v>
      </c>
      <c r="C15" s="33" t="s">
        <v>54</v>
      </c>
      <c r="D15" s="41">
        <v>1</v>
      </c>
      <c r="F15" s="41">
        <v>1</v>
      </c>
    </row>
    <row r="16" spans="1:6" hidden="1" outlineLevel="1">
      <c r="C16" s="33" t="s">
        <v>50</v>
      </c>
      <c r="D16" s="41">
        <v>0</v>
      </c>
      <c r="F16" s="41">
        <v>0</v>
      </c>
    </row>
    <row r="17" spans="3:6" hidden="1" outlineLevel="1">
      <c r="C17" s="33" t="s">
        <v>55</v>
      </c>
      <c r="D17" s="41">
        <v>0</v>
      </c>
      <c r="F17" s="41">
        <v>0</v>
      </c>
    </row>
    <row r="18" spans="3:6" hidden="1" outlineLevel="1">
      <c r="C18" s="33" t="s">
        <v>51</v>
      </c>
      <c r="D18" s="41">
        <v>0</v>
      </c>
      <c r="F18" s="41">
        <v>0</v>
      </c>
    </row>
    <row r="19" spans="3:6" hidden="1" outlineLevel="1">
      <c r="C19" s="33" t="s">
        <v>56</v>
      </c>
      <c r="D19" s="41">
        <v>0</v>
      </c>
      <c r="F19" s="41">
        <v>0</v>
      </c>
    </row>
    <row r="20" spans="3:6" hidden="1" outlineLevel="1">
      <c r="C20" s="33" t="s">
        <v>82</v>
      </c>
      <c r="D20" s="41">
        <v>0</v>
      </c>
      <c r="F20" s="41">
        <v>0</v>
      </c>
    </row>
    <row r="21" spans="3:6" hidden="1" outlineLevel="1">
      <c r="C21" s="33" t="s">
        <v>57</v>
      </c>
      <c r="D21" s="41">
        <v>0</v>
      </c>
      <c r="F21" s="41">
        <v>0</v>
      </c>
    </row>
    <row r="22" spans="3:6" hidden="1" outlineLevel="1">
      <c r="C22" s="33" t="s">
        <v>52</v>
      </c>
      <c r="D22" s="41">
        <v>0</v>
      </c>
      <c r="F22" s="41">
        <v>0</v>
      </c>
    </row>
    <row r="23" spans="3:6" hidden="1" outlineLevel="1">
      <c r="C23" s="34" t="s">
        <v>53</v>
      </c>
      <c r="D23" s="35">
        <f>SUM(D15:D22)</f>
        <v>1</v>
      </c>
      <c r="F23" s="35">
        <f>SUM(F15:F22)</f>
        <v>1</v>
      </c>
    </row>
    <row r="24" spans="3:6" collapsed="1">
      <c r="D24" s="6"/>
      <c r="F24" s="6"/>
    </row>
    <row r="25" spans="3:6">
      <c r="C25" s="7" t="s">
        <v>219</v>
      </c>
      <c r="D25" s="37">
        <v>18665.237013017006</v>
      </c>
      <c r="F25" s="37">
        <v>21483.909562596262</v>
      </c>
    </row>
    <row r="26" spans="3:6">
      <c r="C26" s="7" t="s">
        <v>220</v>
      </c>
      <c r="D26" s="161">
        <v>2052</v>
      </c>
      <c r="F26" s="161">
        <v>1637</v>
      </c>
    </row>
    <row r="27" spans="3:6">
      <c r="C27" s="7" t="s">
        <v>114</v>
      </c>
      <c r="D27" s="158">
        <v>0.84399999999999997</v>
      </c>
      <c r="F27" s="158">
        <v>0.86899999999999999</v>
      </c>
    </row>
    <row r="28" spans="3:6">
      <c r="C28" s="7" t="s">
        <v>68</v>
      </c>
      <c r="D28" s="46">
        <f>D25*D27*D26/2950</f>
        <v>10957.999999999998</v>
      </c>
      <c r="F28" s="46">
        <f>F25*F27*F26/2950</f>
        <v>10360</v>
      </c>
    </row>
    <row r="29" spans="3:6">
      <c r="C29" s="7" t="s">
        <v>128</v>
      </c>
      <c r="D29" s="56">
        <f>D28*D38*273.15/(273.15+D36)</f>
        <v>37235.260263035736</v>
      </c>
      <c r="F29" s="56">
        <f>F28*F38*273.15/(273.15+F36)</f>
        <v>9194.8807055546949</v>
      </c>
    </row>
    <row r="30" spans="3:6">
      <c r="C30" s="7" t="s">
        <v>129</v>
      </c>
      <c r="D30" s="81">
        <f>D31*3.6</f>
        <v>6550.8720009027866</v>
      </c>
      <c r="F30" s="81">
        <f>F31*3.6</f>
        <v>1619.770378575065</v>
      </c>
    </row>
    <row r="31" spans="3:6">
      <c r="C31" s="7" t="s">
        <v>130</v>
      </c>
      <c r="D31" s="47">
        <f>D28*D101*1000/3600</f>
        <v>1819.6866669174406</v>
      </c>
      <c r="F31" s="47">
        <f>F28*F101*1000/3600</f>
        <v>449.93621627085139</v>
      </c>
    </row>
    <row r="32" spans="3:6">
      <c r="C32" s="7" t="s">
        <v>2</v>
      </c>
      <c r="D32" s="42">
        <f>[1]!MolarMass(D13)</f>
        <v>4.0026020000000004</v>
      </c>
      <c r="F32" s="42">
        <f>[1]!MolarMass(F13)</f>
        <v>4.0026020000000004</v>
      </c>
    </row>
    <row r="33" spans="1:6">
      <c r="C33" s="7" t="s">
        <v>3</v>
      </c>
      <c r="D33" s="39">
        <f>[1]!Isentropicexpansioncoef(D13,"TP","SI with C",D36,D38/10)</f>
        <v>1.6691171737786383</v>
      </c>
      <c r="F33" s="39">
        <f>[1]!Isentropicexpansioncoef(F13,"TP","SI with C",F36,F38/10)</f>
        <v>1.6673073110711398</v>
      </c>
    </row>
    <row r="34" spans="1:6">
      <c r="C34" s="7" t="s">
        <v>4</v>
      </c>
      <c r="D34" s="38">
        <f>[1]!IsobaricHeatCapacity(D13,"TP","SI with C",D36,D38/10)</f>
        <v>5.1932076768868773</v>
      </c>
      <c r="F34" s="38">
        <f>[1]!IsobaricHeatCapacity(F13,"TP","SI with C",F36,F38/10)</f>
        <v>5.1931775941897742</v>
      </c>
    </row>
    <row r="35" spans="1:6">
      <c r="C35" s="7" t="s">
        <v>5</v>
      </c>
      <c r="D35" s="8">
        <f>D39/D38</f>
        <v>5.2238805970149258</v>
      </c>
      <c r="F35" s="8">
        <f>F39/F38</f>
        <v>3.9047619047619042</v>
      </c>
    </row>
    <row r="36" spans="1:6">
      <c r="C36" s="7" t="s">
        <v>6</v>
      </c>
      <c r="D36" s="74">
        <v>50</v>
      </c>
      <c r="F36" s="74">
        <v>50</v>
      </c>
    </row>
    <row r="37" spans="1:6">
      <c r="C37" s="7" t="s">
        <v>7</v>
      </c>
      <c r="D37" s="10">
        <v>4.0199999999999996</v>
      </c>
      <c r="F37" s="10">
        <v>1.05</v>
      </c>
    </row>
    <row r="38" spans="1:6">
      <c r="C38" s="7" t="s">
        <v>7</v>
      </c>
      <c r="D38" s="40">
        <f>D37</f>
        <v>4.0199999999999996</v>
      </c>
      <c r="F38" s="40">
        <f>F37</f>
        <v>1.05</v>
      </c>
    </row>
    <row r="39" spans="1:6">
      <c r="C39" s="7" t="s">
        <v>8</v>
      </c>
      <c r="D39" s="27">
        <v>21</v>
      </c>
      <c r="F39" s="27">
        <v>4.0999999999999996</v>
      </c>
    </row>
    <row r="40" spans="1:6">
      <c r="A40" s="130">
        <f>3.99/1.05</f>
        <v>3.8</v>
      </c>
      <c r="C40" s="7" t="s">
        <v>179</v>
      </c>
      <c r="D40" s="130">
        <f>D39/D38</f>
        <v>5.2238805970149258</v>
      </c>
      <c r="F40" s="130">
        <f>F39/F38</f>
        <v>3.9047619047619042</v>
      </c>
    </row>
    <row r="41" spans="1:6">
      <c r="A41" s="130">
        <f>A40^(1/D33)</f>
        <v>2.2251507239766681</v>
      </c>
      <c r="C41" s="7" t="s">
        <v>183</v>
      </c>
      <c r="D41" s="130">
        <f>D40^(1/D33)</f>
        <v>2.6925481215188416</v>
      </c>
      <c r="F41" s="130">
        <f>F40^(1/F33)</f>
        <v>2.2637076910638667</v>
      </c>
    </row>
    <row r="42" spans="1:6">
      <c r="C42" s="7" t="s">
        <v>184</v>
      </c>
      <c r="D42" s="130">
        <f>D3</f>
        <v>2.63</v>
      </c>
      <c r="F42" s="130">
        <f>F3</f>
        <v>2.63</v>
      </c>
    </row>
    <row r="43" spans="1:6">
      <c r="C43" s="7" t="s">
        <v>185</v>
      </c>
      <c r="D43" s="130">
        <f>D42^D33</f>
        <v>5.0229094847170428</v>
      </c>
      <c r="F43" s="130">
        <f>F42^F33</f>
        <v>5.0141265384287053</v>
      </c>
    </row>
    <row r="44" spans="1:6">
      <c r="C44" s="7" t="s">
        <v>186</v>
      </c>
      <c r="D44" s="136">
        <f>D43/D40</f>
        <v>0.96152838707440524</v>
      </c>
      <c r="E44" s="43"/>
      <c r="F44" s="136">
        <f>F43/F40</f>
        <v>1.2841055769146685</v>
      </c>
    </row>
    <row r="45" spans="1:6">
      <c r="C45" s="7" t="s">
        <v>78</v>
      </c>
      <c r="D45" s="30">
        <f>(D31*8.314/D32*(D36+273.15)*LN(D39/D38)/1000)</f>
        <v>2019.3166693423659</v>
      </c>
      <c r="F45" s="30">
        <f>(F31*8.314/F32*(F36+273.15)*LN(F39/F38)/1000)</f>
        <v>411.39838545763683</v>
      </c>
    </row>
    <row r="46" spans="1:6">
      <c r="C46" s="7" t="s">
        <v>79</v>
      </c>
      <c r="D46" s="30">
        <f>D38*10^5*D28/3600*LN(D39/D38)/1000</f>
        <v>2022.9767591623618</v>
      </c>
      <c r="F46" s="30">
        <f>F38*10^5*F28/3600*LN(F39/F38)/1000</f>
        <v>411.61046928292075</v>
      </c>
    </row>
    <row r="47" spans="1:6">
      <c r="C47" s="7" t="s">
        <v>117</v>
      </c>
      <c r="D47" s="30">
        <f>(D31*8.314/D32*(D36+273.15)*D33/(D33-1)*((D39/D38)^((D33-1)/D33)-1))/1000</f>
        <v>2864.4335471077952</v>
      </c>
      <c r="F47" s="30">
        <f>(F31*8.314/F32*(F36+273.15)*F33/(F33-1)*((F39/F38)^((F33-1)/F33)-1))/1000</f>
        <v>547.03495460721763</v>
      </c>
    </row>
    <row r="48" spans="1:6">
      <c r="A48" s="1">
        <f>38.3</f>
        <v>38.299999999999997</v>
      </c>
      <c r="C48" s="7" t="s">
        <v>69</v>
      </c>
      <c r="D48" s="49">
        <v>0.95</v>
      </c>
      <c r="F48" s="49">
        <v>0.95</v>
      </c>
    </row>
    <row r="49" spans="1:6">
      <c r="A49" s="1">
        <v>35.86</v>
      </c>
      <c r="C49" s="7" t="s">
        <v>131</v>
      </c>
      <c r="D49" s="89">
        <f>D51/(3^0.5*6600*0.91)*1000</f>
        <v>400.66532167538463</v>
      </c>
      <c r="F49" s="89">
        <f>F51/(3^0.5*6600*0.91)*1000</f>
        <v>84.112801455365073</v>
      </c>
    </row>
    <row r="50" spans="1:6">
      <c r="A50" s="1">
        <f>A48-A49</f>
        <v>2.4399999999999977</v>
      </c>
    </row>
    <row r="51" spans="1:6">
      <c r="C51" s="7" t="s">
        <v>10</v>
      </c>
      <c r="D51" s="159">
        <v>4168</v>
      </c>
      <c r="F51" s="159">
        <v>875</v>
      </c>
    </row>
    <row r="52" spans="1:6">
      <c r="C52" s="104" t="s">
        <v>9</v>
      </c>
      <c r="D52" s="64">
        <f>D46/D51</f>
        <v>0.48535910728463572</v>
      </c>
      <c r="E52" s="105"/>
      <c r="F52" s="64">
        <f>F46/F51</f>
        <v>0.47041196489476655</v>
      </c>
    </row>
    <row r="53" spans="1:6">
      <c r="C53" s="7" t="s">
        <v>118</v>
      </c>
      <c r="D53" s="64">
        <f>D47/D51</f>
        <v>0.68724413318325217</v>
      </c>
      <c r="F53" s="64">
        <f>F47/F51</f>
        <v>0.62518280526539161</v>
      </c>
    </row>
    <row r="54" spans="1:6">
      <c r="C54" s="7"/>
      <c r="D54" s="64"/>
      <c r="F54" s="64"/>
    </row>
    <row r="55" spans="1:6">
      <c r="C55" s="12" t="s">
        <v>152</v>
      </c>
      <c r="D55" s="74">
        <v>110</v>
      </c>
      <c r="F55" s="74">
        <v>85</v>
      </c>
    </row>
    <row r="56" spans="1:6">
      <c r="C56" s="7" t="s">
        <v>15</v>
      </c>
      <c r="D56" s="145">
        <f>D62+D57</f>
        <v>52.102604758347148</v>
      </c>
      <c r="F56" s="145">
        <f>F62+F57</f>
        <v>52.102604758347148</v>
      </c>
    </row>
    <row r="57" spans="1:6">
      <c r="C57" s="12" t="s">
        <v>174</v>
      </c>
      <c r="D57" s="147">
        <v>6.102604758347149</v>
      </c>
      <c r="F57" s="147">
        <v>6.102604758347149</v>
      </c>
    </row>
    <row r="58" spans="1:6">
      <c r="C58" s="12" t="s">
        <v>201</v>
      </c>
      <c r="D58" s="119">
        <v>3</v>
      </c>
      <c r="F58" s="119">
        <v>3</v>
      </c>
    </row>
    <row r="59" spans="1:6">
      <c r="C59" s="12" t="s">
        <v>204</v>
      </c>
      <c r="D59" s="119">
        <v>10</v>
      </c>
      <c r="F59" s="119">
        <v>10</v>
      </c>
    </row>
    <row r="61" spans="1:6">
      <c r="C61" s="7" t="s">
        <v>157</v>
      </c>
      <c r="D61" s="64"/>
      <c r="F61" s="64"/>
    </row>
    <row r="62" spans="1:6">
      <c r="C62" s="113" t="s">
        <v>155</v>
      </c>
      <c r="D62" s="74">
        <v>46</v>
      </c>
      <c r="E62" s="85"/>
      <c r="F62" s="74">
        <v>46</v>
      </c>
    </row>
    <row r="63" spans="1:6">
      <c r="C63" s="113" t="s">
        <v>156</v>
      </c>
      <c r="D63" s="152">
        <v>47.403063830795404</v>
      </c>
      <c r="E63" s="85"/>
      <c r="F63" s="152">
        <v>46.935580907101134</v>
      </c>
    </row>
    <row r="64" spans="1:6">
      <c r="C64" s="114" t="s">
        <v>203</v>
      </c>
      <c r="D64" s="111">
        <f>D63-D62</f>
        <v>1.4030638307954035</v>
      </c>
      <c r="E64" s="85"/>
      <c r="F64" s="111">
        <f>F63-F62</f>
        <v>0.93558090710113362</v>
      </c>
    </row>
    <row r="65" spans="3:6">
      <c r="C65" s="114" t="s">
        <v>163</v>
      </c>
      <c r="D65" s="150">
        <f>D69*1000/((D63-D62)*4.18)/1000*3600/1000</f>
        <v>335.8459525491383</v>
      </c>
      <c r="E65" s="85"/>
      <c r="F65" s="150">
        <f>F69*1000/((F63-F62)*4.18)/1000*3600/1000</f>
        <v>70.760437230279265</v>
      </c>
    </row>
    <row r="66" spans="3:6">
      <c r="C66" s="114" t="s">
        <v>169</v>
      </c>
      <c r="D66" s="111">
        <f>D55</f>
        <v>110</v>
      </c>
      <c r="E66" s="85"/>
      <c r="F66" s="111">
        <f>F55</f>
        <v>85</v>
      </c>
    </row>
    <row r="67" spans="3:6">
      <c r="C67" s="114" t="s">
        <v>170</v>
      </c>
      <c r="D67" s="111">
        <f>D56</f>
        <v>52.102604758347148</v>
      </c>
      <c r="E67" s="85"/>
      <c r="F67" s="111">
        <f>F56</f>
        <v>52.102604758347148</v>
      </c>
    </row>
    <row r="68" spans="3:6">
      <c r="C68" s="112" t="s">
        <v>133</v>
      </c>
      <c r="D68" s="100">
        <f>((D67-D62)-(D66-D63))/LN((D67-D62)/(D66-D63))</f>
        <v>24.267317772712907</v>
      </c>
      <c r="E68" s="85"/>
      <c r="F68" s="100">
        <f>((F67-F62)-(F66-F63))/LN((F67-F62)/(F66-F63))</f>
        <v>17.460088556573556</v>
      </c>
    </row>
    <row r="69" spans="3:6">
      <c r="C69" s="115" t="s">
        <v>205</v>
      </c>
      <c r="D69" s="30">
        <f>D31*D34*(D66-D67)/1000</f>
        <v>547.13100848228657</v>
      </c>
      <c r="E69" s="85"/>
      <c r="F69" s="30">
        <f>F31*F34*(F66-F67)/1000</f>
        <v>76.868010203402747</v>
      </c>
    </row>
    <row r="70" spans="3:6">
      <c r="C70" s="115" t="s">
        <v>161</v>
      </c>
      <c r="D70" s="18">
        <f>D69/D68</f>
        <v>22.546002553998836</v>
      </c>
      <c r="E70" s="85"/>
      <c r="F70" s="18">
        <f>F69/F68</f>
        <v>4.4024983008727459</v>
      </c>
    </row>
    <row r="71" spans="3:6">
      <c r="C71" s="115" t="s">
        <v>165</v>
      </c>
      <c r="D71" s="103">
        <v>0</v>
      </c>
      <c r="E71" s="85"/>
      <c r="F71" s="103">
        <v>0</v>
      </c>
    </row>
    <row r="72" spans="3:6">
      <c r="C72" s="112" t="s">
        <v>162</v>
      </c>
      <c r="D72" s="92">
        <f>D70*D68</f>
        <v>547.13100848228657</v>
      </c>
      <c r="E72" s="85"/>
      <c r="F72" s="92">
        <f>F70*F68</f>
        <v>76.868010203402747</v>
      </c>
    </row>
    <row r="73" spans="3:6">
      <c r="E73" s="124"/>
    </row>
    <row r="75" spans="3:6">
      <c r="C75" s="7" t="s">
        <v>158</v>
      </c>
      <c r="D75" s="74"/>
      <c r="E75" s="85"/>
      <c r="F75" s="74"/>
    </row>
    <row r="76" spans="3:6">
      <c r="C76" s="113" t="s">
        <v>155</v>
      </c>
      <c r="D76" s="111">
        <f>D63</f>
        <v>47.403063830795404</v>
      </c>
      <c r="E76" s="85"/>
      <c r="F76" s="111">
        <f>F63</f>
        <v>46.935580907101134</v>
      </c>
    </row>
    <row r="77" spans="3:6">
      <c r="C77" s="113" t="s">
        <v>156</v>
      </c>
      <c r="D77" s="100">
        <f>D62+D59</f>
        <v>56</v>
      </c>
      <c r="E77" s="85"/>
      <c r="F77" s="100">
        <f>F62+F59</f>
        <v>56</v>
      </c>
    </row>
    <row r="78" spans="3:6">
      <c r="C78" s="114" t="s">
        <v>163</v>
      </c>
      <c r="D78" s="150">
        <f>D86*1000/((D77-D76)*4.18)/1000*3600/1000</f>
        <v>335.84594343663377</v>
      </c>
      <c r="E78" s="85"/>
      <c r="F78" s="150">
        <f>F86*1000/((F77-F76)*4.18)/1000*3600/1000</f>
        <v>70.760938512757718</v>
      </c>
    </row>
    <row r="79" spans="3:6">
      <c r="C79" s="114" t="s">
        <v>159</v>
      </c>
      <c r="D79" s="111">
        <f>D55</f>
        <v>110</v>
      </c>
      <c r="E79" s="85"/>
      <c r="F79" s="111">
        <f>F55</f>
        <v>85</v>
      </c>
    </row>
    <row r="80" spans="3:6">
      <c r="C80" s="114" t="s">
        <v>192</v>
      </c>
      <c r="D80" s="100">
        <f>D76+D58</f>
        <v>50.403063830795404</v>
      </c>
      <c r="E80" s="85"/>
      <c r="F80" s="100">
        <f>F76+F58</f>
        <v>49.935580907101134</v>
      </c>
    </row>
    <row r="81" spans="3:6">
      <c r="C81" s="114" t="s">
        <v>194</v>
      </c>
      <c r="D81" s="100">
        <f>D76+D58</f>
        <v>50.403063830795404</v>
      </c>
      <c r="E81" s="85"/>
      <c r="F81" s="100">
        <f>F76+F58</f>
        <v>49.935580907101134</v>
      </c>
    </row>
    <row r="82" spans="3:6">
      <c r="C82" s="114" t="s">
        <v>21</v>
      </c>
      <c r="D82" s="83">
        <v>2.17</v>
      </c>
      <c r="E82" s="85"/>
      <c r="F82" s="83">
        <v>2.17</v>
      </c>
    </row>
    <row r="83" spans="3:6">
      <c r="C83" s="114" t="s">
        <v>22</v>
      </c>
      <c r="D83" s="87">
        <v>835</v>
      </c>
      <c r="E83" s="85"/>
      <c r="F83" s="87">
        <v>835</v>
      </c>
    </row>
    <row r="84" spans="3:6">
      <c r="C84" s="7" t="s">
        <v>26</v>
      </c>
      <c r="D84" s="13">
        <f>(273.15+D36)*(D39/D38)^((D33-1)/D33)-273.15</f>
        <v>353.80147449143203</v>
      </c>
      <c r="F84" s="13">
        <f>(273.15+F36)*(F39/F38)^((F33-1)/F33)-273.15</f>
        <v>284.2646408146868</v>
      </c>
    </row>
    <row r="85" spans="3:6">
      <c r="C85" s="7" t="s">
        <v>74</v>
      </c>
      <c r="D85" s="13">
        <f>D84-D55</f>
        <v>243.80147449143203</v>
      </c>
      <c r="F85" s="13">
        <f>F84-F55</f>
        <v>199.2646408146868</v>
      </c>
    </row>
    <row r="86" spans="3:6">
      <c r="C86" s="7" t="s">
        <v>135</v>
      </c>
      <c r="D86" s="92">
        <f>D34*D85*D31/1000/D53</f>
        <v>3352.4135718217053</v>
      </c>
      <c r="E86" s="25"/>
      <c r="F86" s="92">
        <f>F34*F85*F31/1000/F53</f>
        <v>744.74456464486161</v>
      </c>
    </row>
    <row r="87" spans="3:6">
      <c r="C87" s="7" t="s">
        <v>190</v>
      </c>
      <c r="D87" s="141">
        <f>D86/(D82*(D55-D81))*3600</f>
        <v>93320.363871232679</v>
      </c>
      <c r="F87" s="141">
        <f>F86/(F82*(F55-F81))*3600</f>
        <v>35235.745199846562</v>
      </c>
    </row>
    <row r="88" spans="3:6">
      <c r="C88" s="7" t="s">
        <v>124</v>
      </c>
      <c r="D88" s="22">
        <f>D87/D83</f>
        <v>111.76091481584751</v>
      </c>
      <c r="F88" s="22">
        <f>F87/F83</f>
        <v>42.198497245325221</v>
      </c>
    </row>
    <row r="89" spans="3:6">
      <c r="C89" s="7" t="s">
        <v>195</v>
      </c>
      <c r="D89" s="103">
        <v>0</v>
      </c>
      <c r="F89" s="103">
        <v>0</v>
      </c>
    </row>
    <row r="90" spans="3:6">
      <c r="C90" s="7" t="s">
        <v>124</v>
      </c>
      <c r="D90" s="77">
        <f>D88*1000/60</f>
        <v>1862.6819135974586</v>
      </c>
      <c r="E90" s="162"/>
      <c r="F90" s="77">
        <f>F88*1000/60</f>
        <v>703.30828742208701</v>
      </c>
    </row>
    <row r="91" spans="3:6">
      <c r="C91" s="7" t="s">
        <v>172</v>
      </c>
      <c r="D91" s="93">
        <v>0.92255515242259667</v>
      </c>
      <c r="E91" s="106"/>
      <c r="F91" s="93">
        <v>0.92255515242259667</v>
      </c>
    </row>
    <row r="92" spans="3:6">
      <c r="C92" s="7" t="s">
        <v>171</v>
      </c>
      <c r="D92" s="18">
        <f>((D79-D77)-(D81-D76))/LN((D79-D77)/(D81-D76))*D91</f>
        <v>16.278291069311884</v>
      </c>
      <c r="F92" s="18">
        <f>((F79-F77)-(F81-F76))/LN((F79-F77)/(F81-F76))*F91</f>
        <v>10.572842587401439</v>
      </c>
    </row>
    <row r="93" spans="3:6">
      <c r="C93" s="7" t="s">
        <v>150</v>
      </c>
      <c r="D93" s="18">
        <f>D86/D92</f>
        <v>205.94382773642212</v>
      </c>
      <c r="F93" s="18">
        <f>F86/F92</f>
        <v>70.439388318548936</v>
      </c>
    </row>
    <row r="94" spans="3:6">
      <c r="C94" s="115" t="s">
        <v>165</v>
      </c>
      <c r="D94" s="103">
        <v>0</v>
      </c>
      <c r="F94" s="103">
        <v>0</v>
      </c>
    </row>
    <row r="95" spans="3:6">
      <c r="C95" s="7" t="s">
        <v>148</v>
      </c>
      <c r="D95" s="92">
        <f>D93*D92</f>
        <v>3352.4135718217053</v>
      </c>
      <c r="F95" s="92">
        <f>F93*F92</f>
        <v>744.74456464486161</v>
      </c>
    </row>
    <row r="96" spans="3:6">
      <c r="C96" s="115" t="s">
        <v>164</v>
      </c>
      <c r="E96" s="122"/>
    </row>
    <row r="97" spans="3:6">
      <c r="C97" s="1" t="s">
        <v>218</v>
      </c>
      <c r="D97" s="1">
        <f>49.6*0.227</f>
        <v>11.2592</v>
      </c>
      <c r="F97" s="1">
        <f>49.6*0.227</f>
        <v>11.2592</v>
      </c>
    </row>
    <row r="98" spans="3:6">
      <c r="C98" s="1" t="s">
        <v>202</v>
      </c>
      <c r="D98" s="160">
        <f>D65-D78</f>
        <v>9.1125045287299145E-6</v>
      </c>
      <c r="F98" s="160">
        <f>F65-F78</f>
        <v>-5.0128247845293572E-4</v>
      </c>
    </row>
    <row r="99" spans="3:6">
      <c r="C99" s="43" t="s">
        <v>104</v>
      </c>
      <c r="D99" s="75">
        <f>D30/D102</f>
        <v>2096.3563741649441</v>
      </c>
      <c r="F99" s="75">
        <f>F30/F102</f>
        <v>2631.559758610244</v>
      </c>
    </row>
    <row r="100" spans="3:6">
      <c r="C100" s="43" t="s">
        <v>223</v>
      </c>
      <c r="D100" s="63">
        <f>(D88)/(D88+D99)</f>
        <v>5.061366774924958E-2</v>
      </c>
      <c r="E100" s="63"/>
      <c r="F100" s="63">
        <f>(F88)/(F88+F99)</f>
        <v>1.5782465431536268E-2</v>
      </c>
    </row>
    <row r="101" spans="3:6">
      <c r="C101" s="43" t="s">
        <v>119</v>
      </c>
      <c r="D101" s="1">
        <f>[1]!density(D13,"TP","SI with C",D36,D38/10)</f>
        <v>0.59781638993454889</v>
      </c>
      <c r="F101" s="1">
        <f>[1]!density(F13,"TP","SI with C",F36,F38/10)</f>
        <v>0.1563484921404503</v>
      </c>
    </row>
    <row r="102" spans="3:6">
      <c r="C102" s="43" t="s">
        <v>120</v>
      </c>
      <c r="D102" s="1">
        <f>[1]!density(D13,"TP","SI with C",D63,D39/10)</f>
        <v>3.124884719809264</v>
      </c>
      <c r="F102" s="1">
        <f>[1]!density(F13,"TP","SI with C",F63,F39/10)</f>
        <v>0.61551723204282616</v>
      </c>
    </row>
    <row r="103" spans="3:6">
      <c r="C103" s="43" t="s">
        <v>126</v>
      </c>
      <c r="D103" s="1">
        <f>[1]!density("helium","TP","SI with C",0,1/10)</f>
        <v>0.1761481440000498</v>
      </c>
      <c r="F103" s="1">
        <f>[1]!density("helium","TP","SI with C",0,1/10)</f>
        <v>0.1761481440000498</v>
      </c>
    </row>
    <row r="106" spans="3:6">
      <c r="C106" s="12" t="s">
        <v>166</v>
      </c>
      <c r="D106" s="119">
        <f>D77-D62</f>
        <v>10</v>
      </c>
      <c r="F106" s="119">
        <f>F77-F62</f>
        <v>10</v>
      </c>
    </row>
    <row r="107" spans="3:6">
      <c r="C107" s="7" t="s">
        <v>17</v>
      </c>
      <c r="D107" s="28">
        <f>D51/(D106*4.18)*3.6</f>
        <v>358.96650717703352</v>
      </c>
      <c r="F107" s="28">
        <f>F51/(F106*4.18)*3.6</f>
        <v>75.358851674641159</v>
      </c>
    </row>
    <row r="109" spans="3:6">
      <c r="C109" s="1" t="s">
        <v>167</v>
      </c>
      <c r="D109" s="97">
        <f>D86+D72</f>
        <v>3899.544580303992</v>
      </c>
      <c r="E109" s="97"/>
      <c r="F109" s="97">
        <f>F86+F72</f>
        <v>821.61257484826433</v>
      </c>
    </row>
    <row r="110" spans="3:6">
      <c r="C110" s="1" t="s">
        <v>168</v>
      </c>
      <c r="D110" s="97">
        <f>D51</f>
        <v>4168</v>
      </c>
      <c r="F110" s="97">
        <f>F51</f>
        <v>875</v>
      </c>
    </row>
    <row r="111" spans="3:6">
      <c r="D111" s="97">
        <f>D109-D110</f>
        <v>-268.45541969600799</v>
      </c>
      <c r="F111" s="97">
        <f>F109-F110</f>
        <v>-53.38742515173567</v>
      </c>
    </row>
    <row r="114" spans="2:6">
      <c r="B114" s="99"/>
      <c r="C114" s="7"/>
      <c r="D114" s="9"/>
      <c r="E114" s="85"/>
      <c r="F114" s="9"/>
    </row>
    <row r="115" spans="2:6">
      <c r="B115" s="99"/>
      <c r="E115" s="85"/>
    </row>
    <row r="132" spans="3:6">
      <c r="C132" s="1" t="s">
        <v>137</v>
      </c>
    </row>
    <row r="133" spans="3:6">
      <c r="C133" s="1" t="s">
        <v>153</v>
      </c>
    </row>
    <row r="141" spans="3:6">
      <c r="C141" s="17" t="s">
        <v>23</v>
      </c>
      <c r="D141" s="18">
        <f>D142/D83*10^6</f>
        <v>7.1034278817186189</v>
      </c>
      <c r="F141" s="18">
        <f>F142/F83*10^6</f>
        <v>11.708581486437197</v>
      </c>
    </row>
    <row r="142" spans="3:6">
      <c r="C142" s="17" t="s">
        <v>24</v>
      </c>
      <c r="D142" s="19">
        <f>[2]!mu_("BREOXB35",D39,D55+273)</f>
        <v>5.9313622812350465E-3</v>
      </c>
      <c r="F142" s="19">
        <f>[2]!mu_("BREOXB35",F39,F55+273)</f>
        <v>9.77666554117506E-3</v>
      </c>
    </row>
    <row r="145" spans="3:6">
      <c r="D145" s="97">
        <f>D86-D95</f>
        <v>0</v>
      </c>
      <c r="F145" s="97">
        <f>F86-F95</f>
        <v>0</v>
      </c>
    </row>
    <row r="146" spans="3:6">
      <c r="D146" s="1">
        <f>D93/429.82</f>
        <v>0.47913970437955916</v>
      </c>
      <c r="F146" s="1">
        <f>F93/429.82</f>
        <v>0.16388113237762073</v>
      </c>
    </row>
    <row r="147" spans="3:6">
      <c r="C147" s="1" t="s">
        <v>136</v>
      </c>
      <c r="D147" s="1">
        <v>0.14510000000000001</v>
      </c>
      <c r="F147" s="1">
        <v>0.14510000000000001</v>
      </c>
    </row>
    <row r="148" spans="3:6">
      <c r="D148" s="1">
        <v>0.62909999999999999</v>
      </c>
      <c r="F148" s="1">
        <v>0.62909999999999999</v>
      </c>
    </row>
    <row r="149" spans="3:6">
      <c r="D149" s="1">
        <f>1/(1/D147+1/D148)</f>
        <v>0.11790546370446912</v>
      </c>
      <c r="F149" s="1">
        <f>1/(1/F147+1/F148)</f>
        <v>0.11790546370446912</v>
      </c>
    </row>
    <row r="150" spans="3:6">
      <c r="C150"/>
    </row>
    <row r="151" spans="3:6">
      <c r="C151"/>
    </row>
    <row r="152" spans="3:6" ht="15">
      <c r="C152" s="65" t="s">
        <v>137</v>
      </c>
      <c r="D152" s="1">
        <f>2895.06*10^3</f>
        <v>2895060</v>
      </c>
      <c r="E152" s="1" t="s">
        <v>142</v>
      </c>
      <c r="F152" s="1">
        <f>2895.06*10^3</f>
        <v>2895060</v>
      </c>
    </row>
    <row r="153" spans="3:6">
      <c r="C153" s="1" t="s">
        <v>133</v>
      </c>
      <c r="D153" s="1">
        <f>20.43</f>
        <v>20.43</v>
      </c>
      <c r="F153" s="1">
        <f>20.43</f>
        <v>20.43</v>
      </c>
    </row>
    <row r="154" spans="3:6">
      <c r="C154" s="1" t="s">
        <v>145</v>
      </c>
      <c r="D154" s="1">
        <v>429.82</v>
      </c>
      <c r="E154" s="1" t="s">
        <v>146</v>
      </c>
      <c r="F154" s="1">
        <v>429.82</v>
      </c>
    </row>
    <row r="155" spans="3:6">
      <c r="C155" s="1" t="s">
        <v>144</v>
      </c>
      <c r="D155" s="1">
        <f>D152/(D153*D154)</f>
        <v>329.68757676180536</v>
      </c>
      <c r="E155" s="1" t="s">
        <v>143</v>
      </c>
      <c r="F155" s="1">
        <f>F152/(F153*F154)</f>
        <v>329.68757676180536</v>
      </c>
    </row>
    <row r="156" spans="3:6">
      <c r="D156" s="1">
        <f>374/D155</f>
        <v>1.1344073188120454</v>
      </c>
      <c r="F156" s="1">
        <f>374/F155</f>
        <v>1.1344073188120454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B1:AE186"/>
  <sheetViews>
    <sheetView topLeftCell="A88" zoomScale="85" zoomScaleNormal="85" workbookViewId="0">
      <selection activeCell="F42" sqref="F42"/>
    </sheetView>
  </sheetViews>
  <sheetFormatPr defaultRowHeight="12.75"/>
  <cols>
    <col min="1" max="1" width="9.140625" style="1"/>
    <col min="2" max="2" width="10.28515625" style="1" bestFit="1" customWidth="1"/>
    <col min="3" max="3" width="19.28515625" style="1" bestFit="1" customWidth="1"/>
    <col min="4" max="4" width="47.42578125" style="1" customWidth="1"/>
    <col min="5" max="6" width="24" style="1" customWidth="1"/>
    <col min="7" max="7" width="15.28515625" style="1" customWidth="1"/>
    <col min="8" max="16" width="24" style="1" customWidth="1"/>
    <col min="17" max="17" width="17.7109375" style="1" bestFit="1" customWidth="1"/>
    <col min="18" max="21" width="24" style="1" customWidth="1"/>
    <col min="22" max="22" width="39.85546875" style="1" customWidth="1"/>
    <col min="23" max="23" width="26.85546875" style="1" customWidth="1"/>
    <col min="24" max="16384" width="9.140625" style="1"/>
  </cols>
  <sheetData>
    <row r="1" spans="2:23" ht="30">
      <c r="E1" s="48" t="s">
        <v>58</v>
      </c>
      <c r="F1" s="48" t="s">
        <v>61</v>
      </c>
      <c r="H1" s="48" t="s">
        <v>61</v>
      </c>
      <c r="I1" s="48" t="s">
        <v>61</v>
      </c>
      <c r="J1" s="48"/>
      <c r="K1" s="48"/>
      <c r="L1" s="48"/>
      <c r="M1" s="48"/>
      <c r="N1" s="48" t="s">
        <v>61</v>
      </c>
      <c r="O1" s="48" t="s">
        <v>58</v>
      </c>
      <c r="P1" s="48" t="s">
        <v>58</v>
      </c>
      <c r="R1" s="48" t="s">
        <v>61</v>
      </c>
      <c r="S1" s="48" t="s">
        <v>61</v>
      </c>
      <c r="T1" s="57" t="s">
        <v>81</v>
      </c>
      <c r="U1" s="57" t="s">
        <v>81</v>
      </c>
      <c r="W1" s="48" t="s">
        <v>58</v>
      </c>
    </row>
    <row r="2" spans="2:23">
      <c r="C2" s="43" t="s">
        <v>66</v>
      </c>
      <c r="D2" s="20">
        <f>[1]!MolarMass("air")</f>
        <v>28.958600656000002</v>
      </c>
      <c r="E2" s="1" t="s">
        <v>59</v>
      </c>
      <c r="F2" s="1" t="s">
        <v>59</v>
      </c>
      <c r="H2" s="1" t="s">
        <v>59</v>
      </c>
      <c r="I2" s="1" t="s">
        <v>59</v>
      </c>
      <c r="N2" s="1" t="s">
        <v>59</v>
      </c>
      <c r="O2" s="1" t="s">
        <v>59</v>
      </c>
      <c r="P2" s="1" t="s">
        <v>59</v>
      </c>
      <c r="R2" s="1" t="s">
        <v>59</v>
      </c>
      <c r="S2" s="1" t="s">
        <v>59</v>
      </c>
      <c r="T2" s="1" t="s">
        <v>59</v>
      </c>
      <c r="U2" s="1" t="s">
        <v>59</v>
      </c>
      <c r="W2" s="1" t="s">
        <v>59</v>
      </c>
    </row>
    <row r="3" spans="2:23">
      <c r="C3" s="43"/>
      <c r="D3" s="20"/>
    </row>
    <row r="4" spans="2:23">
      <c r="C4" s="43" t="s">
        <v>64</v>
      </c>
      <c r="D4" s="20">
        <f>[1]!density("air","TP","SI with C",0,1/10)</f>
        <v>1.2758162153163073</v>
      </c>
      <c r="E4" s="31" t="str">
        <f>[1]!FluidString($D$7:$D$14,E7:E14)</f>
        <v>helium;0,49589;nitrogen;0,47595;methane;0,01935;argon;0,00029;hydrogen;0,00826;carbon monoxide;0,00003;oxygen;2,29999999999952E-04</v>
      </c>
      <c r="F4" s="31" t="str">
        <f>[1]!FluidString($D$7:$D$14,F7:F14)</f>
        <v>helium;0,52133;nitrogen;0,45101;methane;0,01785;argon;0,000035;hydrogen;0,00759;carbon monoxide;0,00003;oxygen;2,29999999999952E-04</v>
      </c>
      <c r="H4" s="31" t="s">
        <v>82</v>
      </c>
      <c r="I4" s="31" t="s">
        <v>82</v>
      </c>
      <c r="K4" s="31"/>
      <c r="L4" s="31"/>
      <c r="N4" s="31" t="str">
        <f>[1]!FluidString($D$7:$D$14,N7:N14)</f>
        <v>helium;0,52133;nitrogen;0,45101;methane;0,01785;argon;0,000035;hydrogen;0,00759;carbon monoxide;0,00003;oxygen;2,29999999999952E-04</v>
      </c>
      <c r="O4" s="31" t="str">
        <f>[1]!FluidString($D$7:$D$14,O7:O14)</f>
        <v>helium;0,49589;nitrogen;0,47595;methane;0,01935;argon;0,00029;hydrogen;0,00826;carbon monoxide;0,00003;oxygen;2,29999999999952E-04</v>
      </c>
      <c r="P4" s="31" t="str">
        <f>[1]!FluidString($D$7:$D$14,P7:P14)</f>
        <v>helium;0,49589;nitrogen;0,47595;methane;0,01935;argon;0,00029;hydrogen;0,00826;carbon monoxide;0,00003;oxygen;2,29999999999952E-04</v>
      </c>
      <c r="R4" s="31" t="s">
        <v>54</v>
      </c>
      <c r="S4" s="31" t="s">
        <v>54</v>
      </c>
      <c r="T4" s="31" t="str">
        <f>[1]!FluidString($D$7:$D$14,T7:T14)</f>
        <v>helium;0,49589;nitrogen;0,47595;methane;0,01935;argon;0,00029;hydrogen;0,00826;carbon monoxide;0,00003;oxygen;2,29999999999952E-04</v>
      </c>
      <c r="U4" s="31" t="str">
        <f>[1]!FluidString($D$7:$D$14,U7:U14)</f>
        <v>helium;0,49589;nitrogen;0,47595;methane;0,01935;argon;0,00029;hydrogen;0,00826;carbon monoxide;0,00003;oxygen;2,29999999999952E-04</v>
      </c>
      <c r="W4" s="31" t="str">
        <f>[1]!FluidString($D$7:$D$14,W7:W14)</f>
        <v>helium;0,49589;nitrogen;0,47595;methane;0,01935;argon;0,00029;hydrogen;0,00826;carbon monoxide;0,00003;oxygen;2,29999999999952E-04</v>
      </c>
    </row>
    <row r="6" spans="2:23">
      <c r="D6" s="32" t="s">
        <v>48</v>
      </c>
      <c r="E6" s="32" t="s">
        <v>49</v>
      </c>
      <c r="F6" s="32" t="s">
        <v>49</v>
      </c>
      <c r="H6" s="32" t="s">
        <v>49</v>
      </c>
      <c r="I6" s="32" t="s">
        <v>49</v>
      </c>
      <c r="K6" s="32"/>
      <c r="L6" s="32"/>
      <c r="N6" s="32" t="s">
        <v>49</v>
      </c>
      <c r="O6" s="32" t="s">
        <v>49</v>
      </c>
      <c r="P6" s="32" t="s">
        <v>49</v>
      </c>
      <c r="R6" s="32" t="s">
        <v>49</v>
      </c>
      <c r="S6" s="32" t="s">
        <v>49</v>
      </c>
      <c r="T6" s="32" t="s">
        <v>49</v>
      </c>
      <c r="U6" s="32" t="s">
        <v>49</v>
      </c>
      <c r="W6" s="32" t="s">
        <v>49</v>
      </c>
    </row>
    <row r="7" spans="2:23">
      <c r="C7" s="1">
        <f>[1]!MolarMass(D7)</f>
        <v>4.0026020000000004</v>
      </c>
      <c r="D7" s="33" t="s">
        <v>54</v>
      </c>
      <c r="E7" s="36">
        <v>0.49589</v>
      </c>
      <c r="F7" s="41">
        <v>0.52132999999999996</v>
      </c>
      <c r="H7" s="41"/>
      <c r="I7" s="41"/>
      <c r="K7" s="41"/>
      <c r="L7" s="41"/>
      <c r="N7" s="41">
        <v>0.52132999999999996</v>
      </c>
      <c r="O7" s="36">
        <v>0.49589</v>
      </c>
      <c r="P7" s="36">
        <f>+O7</f>
        <v>0.49589</v>
      </c>
      <c r="R7" s="41"/>
      <c r="S7" s="41"/>
      <c r="T7" s="36">
        <v>0.49589</v>
      </c>
      <c r="U7" s="36">
        <f>+T7</f>
        <v>0.49589</v>
      </c>
      <c r="W7" s="36">
        <f>E7</f>
        <v>0.49589</v>
      </c>
    </row>
    <row r="8" spans="2:23">
      <c r="C8" s="1">
        <f>[1]!MolarMass(D8)</f>
        <v>28.013480000000001</v>
      </c>
      <c r="D8" s="33" t="s">
        <v>50</v>
      </c>
      <c r="E8" s="36">
        <v>0.47594999999999998</v>
      </c>
      <c r="F8" s="41">
        <v>0.45101000000000002</v>
      </c>
      <c r="H8" s="41"/>
      <c r="I8" s="41"/>
      <c r="K8" s="41"/>
      <c r="L8" s="41"/>
      <c r="N8" s="41">
        <v>0.45101000000000002</v>
      </c>
      <c r="O8" s="36">
        <v>0.47594999999999998</v>
      </c>
      <c r="P8" s="36">
        <f>1-P7-SUM(P9:P14)</f>
        <v>0.4759500000000001</v>
      </c>
      <c r="R8" s="41"/>
      <c r="S8" s="41"/>
      <c r="T8" s="36">
        <v>0.47594999999999998</v>
      </c>
      <c r="U8" s="36">
        <f>1-U7-SUM(U9:U14)</f>
        <v>0.4759500000000001</v>
      </c>
      <c r="W8" s="36">
        <f t="shared" ref="W8:W14" si="0">E8</f>
        <v>0.47594999999999998</v>
      </c>
    </row>
    <row r="9" spans="2:23">
      <c r="C9" s="1">
        <f>[1]!MolarMass(D9)</f>
        <v>16.0428</v>
      </c>
      <c r="D9" s="33" t="s">
        <v>55</v>
      </c>
      <c r="E9" s="36">
        <v>1.9349999999999999E-2</v>
      </c>
      <c r="F9" s="41">
        <v>1.7850000000000001E-2</v>
      </c>
      <c r="H9" s="41"/>
      <c r="I9" s="41"/>
      <c r="K9" s="41"/>
      <c r="L9" s="41"/>
      <c r="N9" s="41">
        <v>1.7850000000000001E-2</v>
      </c>
      <c r="O9" s="36">
        <v>1.9349999999999999E-2</v>
      </c>
      <c r="P9" s="36">
        <v>1.9349999999999999E-2</v>
      </c>
      <c r="R9" s="41"/>
      <c r="S9" s="41"/>
      <c r="T9" s="36">
        <v>1.9349999999999999E-2</v>
      </c>
      <c r="U9" s="36">
        <v>1.9349999999999999E-2</v>
      </c>
      <c r="W9" s="36">
        <f t="shared" si="0"/>
        <v>1.9349999999999999E-2</v>
      </c>
    </row>
    <row r="10" spans="2:23">
      <c r="C10" s="1">
        <f>[1]!MolarMass(D10)</f>
        <v>39.948</v>
      </c>
      <c r="D10" s="33" t="s">
        <v>51</v>
      </c>
      <c r="E10" s="36">
        <v>2.9E-4</v>
      </c>
      <c r="F10" s="41">
        <v>3.4999999999999997E-5</v>
      </c>
      <c r="H10" s="41"/>
      <c r="I10" s="41"/>
      <c r="K10" s="41"/>
      <c r="L10" s="41"/>
      <c r="N10" s="41">
        <v>3.4999999999999997E-5</v>
      </c>
      <c r="O10" s="36">
        <v>2.9E-4</v>
      </c>
      <c r="P10" s="36">
        <v>2.9E-4</v>
      </c>
      <c r="R10" s="41"/>
      <c r="S10" s="41"/>
      <c r="T10" s="36">
        <v>2.9E-4</v>
      </c>
      <c r="U10" s="36">
        <v>2.9E-4</v>
      </c>
      <c r="W10" s="36">
        <f t="shared" si="0"/>
        <v>2.9E-4</v>
      </c>
    </row>
    <row r="11" spans="2:23">
      <c r="C11" s="1">
        <f>[1]!MolarMass(D11)</f>
        <v>2.0158800000000001</v>
      </c>
      <c r="D11" s="33" t="s">
        <v>56</v>
      </c>
      <c r="E11" s="36">
        <v>8.26E-3</v>
      </c>
      <c r="F11" s="41">
        <v>7.5900000000000004E-3</v>
      </c>
      <c r="H11" s="41"/>
      <c r="I11" s="41"/>
      <c r="K11" s="41"/>
      <c r="L11" s="41"/>
      <c r="N11" s="41">
        <v>7.5900000000000004E-3</v>
      </c>
      <c r="O11" s="36">
        <v>8.26E-3</v>
      </c>
      <c r="P11" s="36">
        <v>8.26E-3</v>
      </c>
      <c r="R11" s="41"/>
      <c r="S11" s="41"/>
      <c r="T11" s="36">
        <v>8.26E-3</v>
      </c>
      <c r="U11" s="36">
        <v>8.26E-3</v>
      </c>
      <c r="W11" s="36">
        <f t="shared" si="0"/>
        <v>8.26E-3</v>
      </c>
    </row>
    <row r="12" spans="2:23">
      <c r="C12" s="1">
        <f>[1]!MolarMass(D12)</f>
        <v>28.958600656000002</v>
      </c>
      <c r="D12" s="33" t="s">
        <v>82</v>
      </c>
      <c r="E12" s="36"/>
      <c r="F12" s="41"/>
      <c r="H12" s="41"/>
      <c r="I12" s="41"/>
      <c r="K12" s="41"/>
      <c r="L12" s="41"/>
      <c r="N12" s="41"/>
      <c r="O12" s="36"/>
      <c r="P12" s="36"/>
      <c r="R12" s="41"/>
      <c r="S12" s="41"/>
      <c r="T12" s="36"/>
      <c r="U12" s="36"/>
      <c r="W12" s="36">
        <f t="shared" si="0"/>
        <v>0</v>
      </c>
    </row>
    <row r="13" spans="2:23">
      <c r="C13" s="1">
        <f>[1]!MolarMass(D13)</f>
        <v>28.010100000000001</v>
      </c>
      <c r="D13" s="33" t="s">
        <v>57</v>
      </c>
      <c r="E13" s="36">
        <v>3.0000000000000001E-5</v>
      </c>
      <c r="F13" s="41">
        <v>3.0000000000000001E-5</v>
      </c>
      <c r="H13" s="41"/>
      <c r="I13" s="41"/>
      <c r="K13" s="41"/>
      <c r="L13" s="41"/>
      <c r="N13" s="41">
        <v>3.0000000000000001E-5</v>
      </c>
      <c r="O13" s="36">
        <v>3.0000000000000001E-5</v>
      </c>
      <c r="P13" s="36">
        <v>3.0000000000000001E-5</v>
      </c>
      <c r="R13" s="41"/>
      <c r="S13" s="41"/>
      <c r="T13" s="36">
        <v>3.0000000000000001E-5</v>
      </c>
      <c r="U13" s="36">
        <v>3.0000000000000001E-5</v>
      </c>
      <c r="W13" s="36">
        <f t="shared" si="0"/>
        <v>3.0000000000000001E-5</v>
      </c>
    </row>
    <row r="14" spans="2:23">
      <c r="C14" s="1">
        <f>[1]!MolarMass(D14)</f>
        <v>31.998799999999999</v>
      </c>
      <c r="D14" s="33" t="s">
        <v>52</v>
      </c>
      <c r="E14" s="36">
        <v>2.2999999999995246E-4</v>
      </c>
      <c r="F14" s="36">
        <v>2.2999999999995246E-4</v>
      </c>
      <c r="H14" s="36"/>
      <c r="I14" s="36"/>
      <c r="K14" s="36"/>
      <c r="L14" s="36"/>
      <c r="N14" s="36">
        <v>2.2999999999995246E-4</v>
      </c>
      <c r="O14" s="36">
        <v>2.2999999999995246E-4</v>
      </c>
      <c r="P14" s="36">
        <v>2.2999999999995246E-4</v>
      </c>
      <c r="R14" s="36"/>
      <c r="S14" s="36"/>
      <c r="T14" s="36">
        <v>2.2999999999995246E-4</v>
      </c>
      <c r="U14" s="36">
        <v>2.2999999999995246E-4</v>
      </c>
      <c r="W14" s="36">
        <f t="shared" si="0"/>
        <v>2.2999999999995246E-4</v>
      </c>
    </row>
    <row r="15" spans="2:23">
      <c r="B15" s="1" t="s">
        <v>63</v>
      </c>
      <c r="D15" s="34" t="s">
        <v>53</v>
      </c>
      <c r="E15" s="35">
        <f>SUM(E7:E14)</f>
        <v>1</v>
      </c>
      <c r="F15" s="35">
        <f>SUM(F7:F14)</f>
        <v>0.99807499999999993</v>
      </c>
      <c r="H15" s="35">
        <f>SUM(H7:H14)</f>
        <v>0</v>
      </c>
      <c r="I15" s="35">
        <f>SUM(I7:I14)</f>
        <v>0</v>
      </c>
      <c r="K15" s="35"/>
      <c r="L15" s="35"/>
      <c r="N15" s="35">
        <f>SUM(N7:N14)</f>
        <v>0.99807499999999993</v>
      </c>
      <c r="O15" s="35">
        <f>SUM(O7:O14)</f>
        <v>1</v>
      </c>
      <c r="P15" s="35">
        <f>SUM(P7:P14)</f>
        <v>1</v>
      </c>
      <c r="R15" s="35">
        <f>SUM(R7:R14)</f>
        <v>0</v>
      </c>
      <c r="S15" s="35">
        <f>SUM(S7:S14)</f>
        <v>0</v>
      </c>
      <c r="T15" s="35">
        <f>SUM(T7:T14)</f>
        <v>1</v>
      </c>
      <c r="U15" s="35">
        <f>SUM(U7:U14)</f>
        <v>1</v>
      </c>
      <c r="W15" s="35">
        <f>SUM(W7:W14)</f>
        <v>1</v>
      </c>
    </row>
    <row r="16" spans="2:23">
      <c r="D16" s="34"/>
      <c r="E16" s="35"/>
      <c r="F16" s="35"/>
      <c r="H16" s="35"/>
      <c r="I16" s="35"/>
      <c r="K16" s="35"/>
      <c r="L16" s="35"/>
      <c r="N16" s="35"/>
      <c r="O16" s="35"/>
      <c r="P16" s="35"/>
      <c r="R16" s="35"/>
      <c r="S16" s="35"/>
      <c r="T16" s="35"/>
      <c r="U16" s="35"/>
      <c r="W16" s="35"/>
    </row>
    <row r="17" spans="2:23">
      <c r="D17" s="34"/>
      <c r="E17" s="35"/>
      <c r="F17" s="1">
        <f>SUMPRODUCT(C7:C14,F7:F14)</f>
        <v>15.03229883166</v>
      </c>
      <c r="G17" s="1" t="s">
        <v>65</v>
      </c>
      <c r="H17" s="1">
        <f>SUMPRODUCT(D7:D14,H7:H14)</f>
        <v>0</v>
      </c>
      <c r="I17" s="1">
        <f>SUMPRODUCT(E7:E14,I7:I14)</f>
        <v>0</v>
      </c>
      <c r="K17" s="1">
        <v>1051</v>
      </c>
      <c r="N17" s="1">
        <f>SUMPRODUCT(F7:F14,N7:N14)</f>
        <v>0.47557127462499998</v>
      </c>
      <c r="O17" s="35"/>
      <c r="P17" s="35"/>
      <c r="R17" s="1">
        <f>SUMPRODUCT(N7:N14,R7:R14)</f>
        <v>0</v>
      </c>
      <c r="S17" s="1">
        <f>SUMPRODUCT(O7:O14,S7:S14)</f>
        <v>0</v>
      </c>
      <c r="T17" s="35"/>
      <c r="U17" s="35"/>
      <c r="W17" s="35"/>
    </row>
    <row r="18" spans="2:23">
      <c r="D18" s="34"/>
      <c r="E18" s="35"/>
      <c r="F18" s="1">
        <f>F17/D2*F37*273.15/(273.15+F35)*D4</f>
        <v>0.86577285743578092</v>
      </c>
      <c r="G18" s="1" t="s">
        <v>62</v>
      </c>
      <c r="H18" s="1">
        <f>H30*3600/1000</f>
        <v>9912.7819678519954</v>
      </c>
      <c r="O18" s="35">
        <f>[1]!density(O4,"TP","SI with C",0,1/10)</f>
        <v>0.68942143727312044</v>
      </c>
      <c r="P18" s="35">
        <f>[1]!density(P4,"TP","SI with C",0,1/10)</f>
        <v>0.68942143727312044</v>
      </c>
      <c r="R18" s="1" t="e">
        <f>R17/O2*R37*273.15/(273.15+R35)*O4</f>
        <v>#VALUE!</v>
      </c>
      <c r="S18" s="1" t="e">
        <f>S17/P2*S37*273.15/(273.15+S35)*P4</f>
        <v>#VALUE!</v>
      </c>
      <c r="T18" s="35">
        <f>[1]!density(T4,"TP","SI with C",0,1/10)</f>
        <v>0.68942143727312044</v>
      </c>
      <c r="U18" s="35">
        <f>[1]!density(U4,"TP","SI with C",0,1/10)</f>
        <v>0.68942143727312044</v>
      </c>
      <c r="W18" s="35">
        <f>[1]!density(W4,"TP","SI with C",0,1/10)</f>
        <v>0.68942143727312044</v>
      </c>
    </row>
    <row r="19" spans="2:23">
      <c r="E19" s="1">
        <f>[1]!density(E4,"TP","SI with C",E35,E37/10)</f>
        <v>0.90398859300959145</v>
      </c>
      <c r="F19" s="1">
        <f>[1]!density(F4,"TP","SI with C",F35,F37/10)</f>
        <v>0.8663158974543459</v>
      </c>
      <c r="G19" s="1" t="s">
        <v>62</v>
      </c>
      <c r="H19" s="1">
        <f>[1]!density(H4,"TP","SI with C",H35,H37/10)</f>
        <v>1.635383995857749</v>
      </c>
      <c r="I19" s="1">
        <f>[1]!density(I4,"TP","SI with C",I35,I37/10)</f>
        <v>3.7775360823591102</v>
      </c>
      <c r="K19" s="1">
        <f>28.81/$D$2*$D$4*K36*273.15/(273.15+K35)</f>
        <v>1.6607101951499768</v>
      </c>
      <c r="L19" s="1">
        <f>28.81/$D$2*$D$4*L36*273.15/(273.15+L35)</f>
        <v>3.8014762165734752</v>
      </c>
      <c r="N19" s="1">
        <f>[1]!density(N4,"TP","SI with C",N35,N37/10)</f>
        <v>0.84971748091008714</v>
      </c>
      <c r="O19" s="1">
        <f>[1]!density(O4,"TP","SI with C",O35,O37/10)</f>
        <v>0.88377970074994061</v>
      </c>
      <c r="P19" s="1">
        <f>[1]!density(P4,"TP","SI with C",P35,P37/10)</f>
        <v>1.9042700449857453</v>
      </c>
      <c r="R19" s="1">
        <f>[1]!density(R4,"TP","SI with C",R35,R37/10)</f>
        <v>0.17669620785343557</v>
      </c>
      <c r="S19" s="1">
        <f>[1]!density(S4,"TP","SI with C",S35,S37/10)</f>
        <v>0.17669620785343557</v>
      </c>
      <c r="T19" s="1">
        <f>[1]!density(T4,"TP","SI with C",T35,T37/10)</f>
        <v>0.90398859300959145</v>
      </c>
      <c r="U19" s="1">
        <f>[1]!density(U4,"TP","SI with C",U35,U37/10)</f>
        <v>1.9478174919678897</v>
      </c>
      <c r="W19" s="1">
        <f>[1]!density(W4,"TP","SI with C",W35,W37/10)</f>
        <v>0.90398859300959145</v>
      </c>
    </row>
    <row r="20" spans="2:23">
      <c r="B20" s="1" t="e">
        <f>B15/28.9*F36*273.15/(273.15+F35)</f>
        <v>#VALUE!</v>
      </c>
      <c r="E20" s="1">
        <f>[1]!density(E4,"TP","SI with C",F45,E38/10)</f>
        <v>15.710778968101277</v>
      </c>
      <c r="F20" s="1">
        <f>[1]!density(F4,"TP","SI with C",F49,F38/10)</f>
        <v>13.471091447109709</v>
      </c>
      <c r="H20" s="1">
        <f>[1]!density(H4,"TP","SI with C",H45,H38/10)</f>
        <v>3.8923124619873062</v>
      </c>
      <c r="I20" s="1">
        <f>[1]!density(I4,"TP","SI with C",I45,I38/10)</f>
        <v>27.023575248189644</v>
      </c>
    </row>
    <row r="21" spans="2:23">
      <c r="E21" s="3" t="s">
        <v>0</v>
      </c>
      <c r="F21" s="3" t="s">
        <v>0</v>
      </c>
      <c r="H21" s="3" t="s">
        <v>0</v>
      </c>
      <c r="I21" s="3" t="s">
        <v>0</v>
      </c>
      <c r="K21" s="3" t="s">
        <v>0</v>
      </c>
      <c r="L21" s="3" t="s">
        <v>0</v>
      </c>
      <c r="N21" s="3" t="s">
        <v>0</v>
      </c>
      <c r="O21" s="3" t="s">
        <v>0</v>
      </c>
      <c r="P21" s="3" t="s">
        <v>0</v>
      </c>
      <c r="R21" s="3" t="s">
        <v>0</v>
      </c>
      <c r="S21" s="3" t="s">
        <v>0</v>
      </c>
      <c r="T21" s="3" t="s">
        <v>0</v>
      </c>
      <c r="U21" s="3" t="s">
        <v>0</v>
      </c>
      <c r="W21" s="3" t="s">
        <v>0</v>
      </c>
    </row>
    <row r="22" spans="2:23">
      <c r="B22" s="4" t="e">
        <f>B20*F26/3600*1000</f>
        <v>#VALUE!</v>
      </c>
      <c r="C22" s="4">
        <f>F18*F26/3600*1000</f>
        <v>0.22108251924695069</v>
      </c>
      <c r="D22" s="4"/>
      <c r="E22" s="5">
        <v>49</v>
      </c>
      <c r="F22" s="5">
        <v>49</v>
      </c>
      <c r="H22" s="5">
        <v>49</v>
      </c>
      <c r="I22" s="5">
        <v>49</v>
      </c>
      <c r="K22" s="5">
        <v>49</v>
      </c>
      <c r="L22" s="5">
        <v>49</v>
      </c>
      <c r="N22" s="5">
        <v>49</v>
      </c>
      <c r="O22" s="5">
        <v>49</v>
      </c>
      <c r="P22" s="5">
        <v>49</v>
      </c>
      <c r="R22" s="5">
        <v>49</v>
      </c>
      <c r="S22" s="5">
        <v>49</v>
      </c>
      <c r="T22" s="5">
        <v>49</v>
      </c>
      <c r="U22" s="5">
        <v>49</v>
      </c>
      <c r="W22" s="5">
        <v>49</v>
      </c>
    </row>
    <row r="23" spans="2:23">
      <c r="E23" s="6">
        <f>E22*60</f>
        <v>2940</v>
      </c>
      <c r="F23" s="6">
        <f>F22*60</f>
        <v>2940</v>
      </c>
      <c r="H23" s="6">
        <f>H22*60</f>
        <v>2940</v>
      </c>
      <c r="I23" s="6">
        <f>I22*60</f>
        <v>2940</v>
      </c>
      <c r="K23" s="6">
        <f>K22*60</f>
        <v>2940</v>
      </c>
      <c r="L23" s="6">
        <f>L22*60</f>
        <v>2940</v>
      </c>
      <c r="N23" s="6">
        <f>N22*60</f>
        <v>2940</v>
      </c>
      <c r="O23" s="6">
        <v>2953</v>
      </c>
      <c r="P23" s="6">
        <f>P22*60</f>
        <v>2940</v>
      </c>
      <c r="R23" s="6">
        <f>R22*60</f>
        <v>2940</v>
      </c>
      <c r="S23" s="6">
        <f>S22*60</f>
        <v>2940</v>
      </c>
      <c r="T23" s="6">
        <v>2953</v>
      </c>
      <c r="U23" s="6">
        <f>U22*60</f>
        <v>2940</v>
      </c>
      <c r="W23" s="6">
        <f>W22*60</f>
        <v>2940</v>
      </c>
    </row>
    <row r="24" spans="2:23">
      <c r="D24" s="7" t="s">
        <v>60</v>
      </c>
      <c r="E24" s="37">
        <v>6440</v>
      </c>
      <c r="F24" s="37">
        <v>6440</v>
      </c>
      <c r="G24" s="1">
        <f>F24/E24</f>
        <v>1</v>
      </c>
      <c r="H24" s="37">
        <v>6560</v>
      </c>
      <c r="I24" s="37">
        <v>3210</v>
      </c>
      <c r="K24" s="37">
        <v>6560</v>
      </c>
      <c r="L24" s="37">
        <v>3210</v>
      </c>
      <c r="N24" s="37">
        <v>6520</v>
      </c>
      <c r="O24" s="37">
        <v>6520</v>
      </c>
      <c r="P24" s="37">
        <v>6520</v>
      </c>
      <c r="R24" s="37">
        <v>6740</v>
      </c>
      <c r="S24" s="37">
        <v>5600</v>
      </c>
      <c r="T24" s="37">
        <v>6520</v>
      </c>
      <c r="U24" s="37">
        <v>3190</v>
      </c>
      <c r="W24" s="37"/>
    </row>
    <row r="25" spans="2:23">
      <c r="D25" s="7" t="s">
        <v>60</v>
      </c>
      <c r="E25" s="53">
        <f>0.589*E24</f>
        <v>3793.16</v>
      </c>
      <c r="F25" s="37">
        <v>6440</v>
      </c>
      <c r="G25" s="1">
        <f>F25/E25</f>
        <v>1.6977928692699491</v>
      </c>
      <c r="H25" s="37"/>
      <c r="I25" s="37"/>
      <c r="K25" s="37"/>
      <c r="L25" s="37"/>
      <c r="N25" s="37"/>
      <c r="O25" s="37"/>
      <c r="P25" s="37"/>
      <c r="R25" s="37"/>
      <c r="S25" s="37"/>
      <c r="T25" s="37">
        <v>6520</v>
      </c>
      <c r="U25" s="37">
        <v>3190</v>
      </c>
      <c r="W25" s="37"/>
    </row>
    <row r="26" spans="2:23">
      <c r="D26" s="7" t="s">
        <v>67</v>
      </c>
      <c r="E26" s="45">
        <v>0.82986261243206527</v>
      </c>
      <c r="F26" s="44">
        <v>0.91929085377691977</v>
      </c>
      <c r="G26" s="1">
        <f>F26/E26</f>
        <v>1.1077627067482514</v>
      </c>
      <c r="H26" s="45">
        <v>0.92400000000000004</v>
      </c>
      <c r="I26" s="45">
        <v>0.82699999999999996</v>
      </c>
      <c r="K26" s="45">
        <v>0.92400000000000004</v>
      </c>
      <c r="L26" s="45">
        <v>0.82699999999999996</v>
      </c>
      <c r="N26" s="44">
        <v>0.80753638092558899</v>
      </c>
      <c r="O26" s="45">
        <v>0.92296012269938643</v>
      </c>
      <c r="P26" s="45">
        <v>0.74431049392386361</v>
      </c>
      <c r="R26" s="44">
        <v>0.91100000000000003</v>
      </c>
      <c r="S26" s="44">
        <v>0.91100000000000003</v>
      </c>
      <c r="T26" s="45">
        <v>0.92296012269938643</v>
      </c>
      <c r="U26" s="45">
        <v>0.74431049392386361</v>
      </c>
      <c r="W26" s="45"/>
    </row>
    <row r="27" spans="2:23">
      <c r="D27" s="7" t="s">
        <v>68</v>
      </c>
      <c r="E27" s="46">
        <f>E24*E26</f>
        <v>5344.3152240625004</v>
      </c>
      <c r="F27" s="46">
        <f>F24*F26</f>
        <v>5920.2330983233633</v>
      </c>
      <c r="G27" s="1">
        <f>F27/E27</f>
        <v>1.1077627067482514</v>
      </c>
      <c r="H27" s="46">
        <f>H24*H26</f>
        <v>6061.4400000000005</v>
      </c>
      <c r="I27" s="46">
        <f>I24*I26</f>
        <v>2654.67</v>
      </c>
      <c r="K27" s="46">
        <f>K24*K26</f>
        <v>6061.4400000000005</v>
      </c>
      <c r="L27" s="46">
        <f>L24*L26</f>
        <v>2654.67</v>
      </c>
      <c r="N27" s="46">
        <f>N24*N26</f>
        <v>5265.1372036348403</v>
      </c>
      <c r="O27" s="46">
        <f>O24*O26</f>
        <v>6017.7</v>
      </c>
      <c r="P27" s="46">
        <f>P24*P26</f>
        <v>4852.9044203835911</v>
      </c>
      <c r="Q27" s="52"/>
      <c r="R27" s="46">
        <f>R24*R26</f>
        <v>6140.14</v>
      </c>
      <c r="S27" s="46">
        <f>S24*S26</f>
        <v>5101.6000000000004</v>
      </c>
      <c r="T27" s="46">
        <f>T24*T26</f>
        <v>6017.7</v>
      </c>
      <c r="U27" s="46">
        <f>U24*U26</f>
        <v>2374.3504756171251</v>
      </c>
      <c r="W27" s="46">
        <v>7000</v>
      </c>
    </row>
    <row r="28" spans="2:23">
      <c r="D28" s="7"/>
      <c r="E28" s="56">
        <f>E27*E37*273.15/(273.15+E35)</f>
        <v>7009.3273365194436</v>
      </c>
      <c r="F28" s="56">
        <f>F27*F37*273.15/(273.15+F35)</f>
        <v>7739.3916851256045</v>
      </c>
      <c r="H28" s="56">
        <f>H27*H37*273.15/(273.15+H35)</f>
        <v>7772.1636082388632</v>
      </c>
      <c r="I28" s="56">
        <f>I27*I37*273.15/(273.15+I35)</f>
        <v>7862.913026169922</v>
      </c>
      <c r="K28" s="56">
        <f>K27*K37*273.15/(273.15+K35)</f>
        <v>7772.1636082388632</v>
      </c>
      <c r="L28" s="56">
        <f>L27*L37*273.15/(273.15+L35)</f>
        <v>7884.8764703771021</v>
      </c>
      <c r="N28" s="56">
        <f>N27*N37*273.15/(273.15+N35)</f>
        <v>6751.1198273801665</v>
      </c>
      <c r="O28" s="56">
        <f>O27*O37*273.15/(273.15+O35)</f>
        <v>7716.0788435254663</v>
      </c>
      <c r="P28" s="56">
        <f>P27*P37*273.15/(273.15+P35)</f>
        <v>13418.679771662324</v>
      </c>
      <c r="Q28" s="52"/>
      <c r="R28" s="56">
        <f>R27*R37*273.15/(273.15+R35)</f>
        <v>6159.2084532971421</v>
      </c>
      <c r="S28" s="56">
        <f>S27*S37*273.15/(273.15+S35)</f>
        <v>5117.4432252913939</v>
      </c>
      <c r="T28" s="56">
        <f>T27*T37*273.15/(273.15+T35)</f>
        <v>7892.503968152866</v>
      </c>
      <c r="U28" s="56">
        <f>U27*U37*273.15/(273.15+U35)</f>
        <v>6715.3867344601422</v>
      </c>
      <c r="W28" s="46"/>
    </row>
    <row r="29" spans="2:23">
      <c r="D29" s="7" t="s">
        <v>1</v>
      </c>
      <c r="E29" s="73">
        <f>E30*3.6</f>
        <v>4831.1999999999989</v>
      </c>
      <c r="F29" s="73">
        <f>F30*3.6</f>
        <v>5128.792049712928</v>
      </c>
      <c r="H29" s="73">
        <f>H30*3.6</f>
        <v>9912.7819678519954</v>
      </c>
      <c r="I29" s="73">
        <f>I30*3.6</f>
        <v>10028.111711756259</v>
      </c>
      <c r="K29" s="73">
        <f>K30*3.6</f>
        <v>10066.295205289876</v>
      </c>
      <c r="L29" s="73">
        <f>L30*3.6</f>
        <v>10091.664867851108</v>
      </c>
      <c r="N29" s="47">
        <f t="shared" ref="N29:P30" si="1">N26*N18*1000/3600</f>
        <v>0</v>
      </c>
      <c r="O29" s="47">
        <f t="shared" si="1"/>
        <v>0.17675235953810739</v>
      </c>
      <c r="P29" s="47">
        <f t="shared" si="1"/>
        <v>0.14253989180512674</v>
      </c>
      <c r="R29" s="47" t="e">
        <f t="shared" ref="R29:U30" si="2">R26*R18*1000/3600</f>
        <v>#VALUE!</v>
      </c>
      <c r="S29" s="47" t="e">
        <f t="shared" si="2"/>
        <v>#VALUE!</v>
      </c>
      <c r="T29" s="47">
        <f t="shared" si="2"/>
        <v>0.17675235953810739</v>
      </c>
      <c r="U29" s="47">
        <f t="shared" si="2"/>
        <v>0.14253989180512674</v>
      </c>
      <c r="W29" s="47">
        <f>W26*W18*1000/3600</f>
        <v>0</v>
      </c>
    </row>
    <row r="30" spans="2:23">
      <c r="D30" s="7" t="s">
        <v>1</v>
      </c>
      <c r="E30" s="47">
        <f>E27*E19*1000/3600</f>
        <v>1341.9999999999998</v>
      </c>
      <c r="F30" s="47">
        <f>F27*F19*1000/3600</f>
        <v>1424.664458253591</v>
      </c>
      <c r="H30" s="47">
        <f>H27*H19*1000/3600</f>
        <v>2753.550546625554</v>
      </c>
      <c r="I30" s="47">
        <f>I27*I19*1000/3600</f>
        <v>2785.5865865989608</v>
      </c>
      <c r="K30" s="47">
        <f>K27*K19*1000/3600</f>
        <v>2796.1931125805213</v>
      </c>
      <c r="L30" s="47">
        <f>L27*L19*1000/3600</f>
        <v>2803.2402410697523</v>
      </c>
      <c r="N30" s="47">
        <f t="shared" si="1"/>
        <v>1242.7442003662713</v>
      </c>
      <c r="O30" s="47">
        <f t="shared" si="1"/>
        <v>1477.3114181119213</v>
      </c>
      <c r="P30" s="47">
        <f t="shared" si="1"/>
        <v>2567.0112552542732</v>
      </c>
      <c r="R30" s="47">
        <f t="shared" si="2"/>
        <v>301.37207046922049</v>
      </c>
      <c r="S30" s="47">
        <f t="shared" si="2"/>
        <v>250.39815944030192</v>
      </c>
      <c r="T30" s="47">
        <f t="shared" si="2"/>
        <v>1511.0922655982829</v>
      </c>
      <c r="U30" s="47">
        <f t="shared" si="2"/>
        <v>1284.6670523525872</v>
      </c>
      <c r="W30" s="47">
        <f>W27*W19*1000/3600</f>
        <v>1757.7555975186501</v>
      </c>
    </row>
    <row r="31" spans="2:23">
      <c r="D31" s="7" t="s">
        <v>2</v>
      </c>
      <c r="E31" s="42">
        <f>[1]!MolarMass(E4)</f>
        <v>15.66473040758</v>
      </c>
      <c r="F31" s="42">
        <f>[1]!MolarMass(F4)</f>
        <v>15.061291818410444</v>
      </c>
      <c r="H31" s="42">
        <f>[1]!MolarMass(H4)</f>
        <v>28.958600656000002</v>
      </c>
      <c r="I31" s="42">
        <f>[1]!MolarMass(I4)</f>
        <v>28.958600656000002</v>
      </c>
      <c r="K31" s="42">
        <v>28.81</v>
      </c>
      <c r="L31" s="42">
        <v>28.82</v>
      </c>
      <c r="N31" s="42">
        <f>[1]!MolarMass(N4)</f>
        <v>15.061291818410444</v>
      </c>
      <c r="O31" s="42">
        <f>[1]!MolarMass(O4)</f>
        <v>15.66473040758</v>
      </c>
      <c r="P31" s="42">
        <f>[1]!MolarMass(P4)</f>
        <v>15.66473040758</v>
      </c>
      <c r="R31" s="42">
        <f>[1]!MolarMass(R4)</f>
        <v>4.0026020000000004</v>
      </c>
      <c r="S31" s="42">
        <f>[1]!MolarMass(S4)</f>
        <v>4.0026020000000004</v>
      </c>
      <c r="T31" s="42">
        <f>[1]!MolarMass(T4)</f>
        <v>15.66473040758</v>
      </c>
      <c r="U31" s="42">
        <f>[1]!MolarMass(U4)</f>
        <v>15.66473040758</v>
      </c>
      <c r="W31" s="42">
        <f>[1]!MolarMass(W4)</f>
        <v>15.66473040758</v>
      </c>
    </row>
    <row r="32" spans="2:23">
      <c r="D32" s="7" t="s">
        <v>3</v>
      </c>
      <c r="E32" s="39">
        <f>[1]!Isentropicexpansioncoef(E4,"TP","SI with C",E35,E37/10)</f>
        <v>1.4965184926902568</v>
      </c>
      <c r="F32" s="39">
        <f>[1]!Isentropicexpansioncoef(F4,"TP","SI with C",F35,F37/10)</f>
        <v>1.5032736448728365</v>
      </c>
      <c r="H32" s="39">
        <f>[1]!Isentropicexpansioncoef(H4,"TP","SI with C",H35,H37/10)</f>
        <v>1.401506938400213</v>
      </c>
      <c r="I32" s="39">
        <f>[1]!Isentropicexpansioncoef(I4,"TP","SI with C",I35,I37/10)</f>
        <v>1.4036342001391213</v>
      </c>
      <c r="K32" s="39">
        <v>1.4</v>
      </c>
      <c r="L32" s="39">
        <v>1.4</v>
      </c>
      <c r="N32" s="39">
        <f>[1]!Isentropicexpansioncoef(N4,"TP","SI with C",N35,N37/10)</f>
        <v>1.5030531714192408</v>
      </c>
      <c r="O32" s="39">
        <f>[1]!Isentropicexpansioncoef(O4,"TP","SI with C",O35,O37/10)</f>
        <v>1.4962523761581268</v>
      </c>
      <c r="P32" s="39">
        <f>[1]!Isentropicexpansioncoef(P4,"TP","SI with C",P35,P37/10)</f>
        <v>1.4982936857583689</v>
      </c>
      <c r="R32" s="39">
        <f>[1]!Isentropicexpansioncoef(R4,"TP","SI with C",R35,R37/10)</f>
        <v>1.6673965675273521</v>
      </c>
      <c r="S32" s="39">
        <f>[1]!Isentropicexpansioncoef(S4,"TP","SI with C",S35,S37/10)</f>
        <v>1.6673965675273521</v>
      </c>
      <c r="T32" s="39">
        <f>[1]!IsobaricHeatCapacity(T4,"TP","SI with C",T35,T37/10)/[1]!IsochoricHeatCapacity($F$4,"TP","SI with C",T35,T37/10)</f>
        <v>1.4576693472489721</v>
      </c>
      <c r="U32" s="39">
        <f>[1]!IsobaricHeatCapacity(U4,"TP","SI with C",U35,U37/10)/[1]!IsochoricHeatCapacity($F$4,"TP","SI with C",U35,U37/10)</f>
        <v>1.4585027575447391</v>
      </c>
      <c r="W32" s="39">
        <f>[1]!IsobaricHeatCapacity(W4,"TP","SI with C",W35,W37/10)/[1]!IsochoricHeatCapacity($E$4,"TP","SI with C",W35,W37/10)</f>
        <v>1.4954577012619896</v>
      </c>
    </row>
    <row r="33" spans="2:31">
      <c r="D33" s="7" t="s">
        <v>4</v>
      </c>
      <c r="E33" s="38">
        <f>[1]!IsobaricHeatCapacity(E4,"TP","SI with C",E35,E37/10)</f>
        <v>1.6046608319460662</v>
      </c>
      <c r="F33" s="38">
        <f>[1]!IsobaricHeatCapacity(F4,"TP","SI with C",F35,F37/10)</f>
        <v>1.6537535165379513</v>
      </c>
      <c r="H33" s="38">
        <f>[1]!IsobaricHeatCapacity(H4,"TP","SI with C",H35,H37/10)</f>
        <v>1.0078318075327892</v>
      </c>
      <c r="I33" s="38">
        <f>[1]!IsobaricHeatCapacity(I4,"TP","SI with C",I35,I37/10)</f>
        <v>1.0113506665781096</v>
      </c>
      <c r="K33" s="38">
        <v>1.4</v>
      </c>
      <c r="L33" s="38">
        <v>1.4</v>
      </c>
      <c r="N33" s="38">
        <f>[1]!IsobaricHeatCapacity(N4,"TP","SI with C",N35,N37/10)</f>
        <v>1.6541285055416524</v>
      </c>
      <c r="O33" s="38">
        <f>[1]!IsobaricHeatCapacity(O4,"TP","SI with C",O35,O37/10)</f>
        <v>1.6051094105521697</v>
      </c>
      <c r="P33" s="38">
        <f>[1]!IsobaricHeatCapacity(P4,"TP","SI with C",P35,P37/10)</f>
        <v>1.6062054090952751</v>
      </c>
      <c r="R33" s="38">
        <f>[1]!IsobaricHeatCapacity(R4,"TP","SI with C",R35,R37/10)</f>
        <v>5.1931889276151804</v>
      </c>
      <c r="S33" s="38">
        <f>[1]!IsobaricHeatCapacity(S4,"TP","SI with C",S35,S37/10)</f>
        <v>5.1931889276151804</v>
      </c>
      <c r="T33" s="38">
        <f>[1]!IsobaricHeatCapacity(T4,"TP","SI with C",T35,T37/10)</f>
        <v>1.6046608319460662</v>
      </c>
      <c r="U33" s="38">
        <f>[1]!IsobaricHeatCapacity(U4,"TP","SI with C",U35,U37/10)</f>
        <v>1.6058115886904121</v>
      </c>
      <c r="W33" s="38">
        <f>[1]!IsobaricHeatCapacity(W4,"TP","SI with C",W35,W37/10)</f>
        <v>1.6046608319460662</v>
      </c>
      <c r="Z33" s="1" t="s">
        <v>73</v>
      </c>
    </row>
    <row r="34" spans="2:31">
      <c r="D34" s="7" t="s">
        <v>5</v>
      </c>
      <c r="E34" s="8">
        <f>E38/E37</f>
        <v>17.414965986394559</v>
      </c>
      <c r="F34" s="8">
        <f>F38/F37</f>
        <v>17.687074829931973</v>
      </c>
      <c r="H34" s="8">
        <f>H38/H37</f>
        <v>2.4557823129251699</v>
      </c>
      <c r="I34" s="8">
        <f>I38/I37</f>
        <v>7.1508379888268161</v>
      </c>
      <c r="K34" s="8">
        <f>K38/K37</f>
        <v>2.4557823129251699</v>
      </c>
      <c r="L34" s="8">
        <f>L38/L37</f>
        <v>7.1309192200557101</v>
      </c>
      <c r="N34" s="8">
        <f>N38/N37</f>
        <v>17.414965986394559</v>
      </c>
      <c r="O34" s="8">
        <f>O38/O37</f>
        <v>2.4489795918367347</v>
      </c>
      <c r="P34" s="8">
        <f>P38/P37</f>
        <v>8.0757097791798103</v>
      </c>
      <c r="R34" s="8">
        <f>R38/R37</f>
        <v>4.3478260869565224</v>
      </c>
      <c r="S34" s="8">
        <f>S38/S37</f>
        <v>4.3478260869565224</v>
      </c>
      <c r="T34" s="8">
        <f>T38/T37</f>
        <v>2.4489795918367347</v>
      </c>
      <c r="U34" s="8">
        <f>U38/U37</f>
        <v>8.0757097791798103</v>
      </c>
      <c r="W34" s="8">
        <f>W38/W37</f>
        <v>17.414965986394559</v>
      </c>
    </row>
    <row r="35" spans="2:31">
      <c r="C35" s="50">
        <f>E35+273.15</f>
        <v>306.14999999999998</v>
      </c>
      <c r="D35" s="7" t="s">
        <v>6</v>
      </c>
      <c r="E35" s="9">
        <f>306.15-273.15</f>
        <v>33</v>
      </c>
      <c r="F35" s="9">
        <f>E35+1</f>
        <v>34</v>
      </c>
      <c r="H35" s="9">
        <v>40</v>
      </c>
      <c r="I35" s="9">
        <f>H49</f>
        <v>57</v>
      </c>
      <c r="K35" s="9">
        <v>40</v>
      </c>
      <c r="L35" s="9">
        <v>57</v>
      </c>
      <c r="N35" s="9">
        <v>40</v>
      </c>
      <c r="O35" s="9">
        <v>40</v>
      </c>
      <c r="P35" s="9">
        <v>40</v>
      </c>
      <c r="R35" s="9">
        <v>40</v>
      </c>
      <c r="S35" s="9">
        <v>40</v>
      </c>
      <c r="T35" s="9">
        <f>306.15-273.15</f>
        <v>33</v>
      </c>
      <c r="U35" s="9">
        <f>306.15-273.15</f>
        <v>33</v>
      </c>
      <c r="W35" s="9">
        <f>306.15-273.15</f>
        <v>33</v>
      </c>
    </row>
    <row r="36" spans="2:31">
      <c r="D36" s="7" t="s">
        <v>7</v>
      </c>
      <c r="E36" s="10">
        <v>1.5</v>
      </c>
      <c r="F36" s="10">
        <v>1.5</v>
      </c>
      <c r="H36" s="10">
        <v>1.5</v>
      </c>
      <c r="I36" s="10">
        <v>3.61</v>
      </c>
      <c r="K36" s="10">
        <v>1.5</v>
      </c>
      <c r="L36" s="10">
        <v>3.62</v>
      </c>
      <c r="N36" s="10">
        <v>1.5</v>
      </c>
      <c r="O36" s="10">
        <v>1.5</v>
      </c>
      <c r="P36" s="10">
        <v>3.2</v>
      </c>
      <c r="Q36" s="1" t="s">
        <v>80</v>
      </c>
      <c r="R36" s="10"/>
      <c r="S36" s="10"/>
      <c r="T36" s="10">
        <v>1.5</v>
      </c>
      <c r="U36" s="10">
        <v>3.2</v>
      </c>
      <c r="W36" s="10">
        <v>1.5</v>
      </c>
    </row>
    <row r="37" spans="2:31">
      <c r="D37" s="7" t="s">
        <v>7</v>
      </c>
      <c r="E37" s="40">
        <f>E36-30/1000</f>
        <v>1.47</v>
      </c>
      <c r="F37" s="40">
        <f>F36-30/1000</f>
        <v>1.47</v>
      </c>
      <c r="H37" s="40">
        <f>H36-30/1000</f>
        <v>1.47</v>
      </c>
      <c r="I37" s="40">
        <f>I36-30/1000</f>
        <v>3.58</v>
      </c>
      <c r="K37" s="40">
        <f>K36-30/1000</f>
        <v>1.47</v>
      </c>
      <c r="L37" s="40">
        <f>L36-30/1000</f>
        <v>3.5900000000000003</v>
      </c>
      <c r="N37" s="40">
        <f>N36-30/1000</f>
        <v>1.47</v>
      </c>
      <c r="O37" s="40">
        <f>O36-30/1000</f>
        <v>1.47</v>
      </c>
      <c r="P37" s="40">
        <f>P36-30/1000</f>
        <v>3.1700000000000004</v>
      </c>
      <c r="R37" s="40">
        <v>1.1499999999999999</v>
      </c>
      <c r="S37" s="40">
        <v>1.1499999999999999</v>
      </c>
      <c r="T37" s="40">
        <f>T36-30/1000</f>
        <v>1.47</v>
      </c>
      <c r="U37" s="40">
        <f>U36-30/1000</f>
        <v>3.1700000000000004</v>
      </c>
      <c r="W37" s="40">
        <f>W36-30/1000</f>
        <v>1.47</v>
      </c>
    </row>
    <row r="38" spans="2:31">
      <c r="D38" s="7" t="s">
        <v>8</v>
      </c>
      <c r="E38" s="27">
        <v>25.6</v>
      </c>
      <c r="F38" s="27">
        <v>26</v>
      </c>
      <c r="H38" s="27">
        <v>3.61</v>
      </c>
      <c r="I38" s="27">
        <v>25.6</v>
      </c>
      <c r="K38" s="27">
        <v>3.61</v>
      </c>
      <c r="L38" s="27">
        <v>25.6</v>
      </c>
      <c r="N38" s="27">
        <v>25.6</v>
      </c>
      <c r="O38" s="27">
        <v>3.6</v>
      </c>
      <c r="P38" s="27">
        <v>25.6</v>
      </c>
      <c r="R38" s="27">
        <v>5</v>
      </c>
      <c r="S38" s="27">
        <v>5</v>
      </c>
      <c r="T38" s="27">
        <v>3.6</v>
      </c>
      <c r="U38" s="27">
        <v>25.6</v>
      </c>
      <c r="W38" s="27">
        <v>25.6</v>
      </c>
    </row>
    <row r="39" spans="2:31" ht="13.5" customHeight="1">
      <c r="D39" s="7" t="s">
        <v>78</v>
      </c>
      <c r="E39" s="30">
        <f>(E30*8.314/E31*(E35+273.15)*LN(E38/E37)/1000)</f>
        <v>623.06630893011425</v>
      </c>
      <c r="F39" s="30">
        <f>(F30*8.314/F31*(F35+273.15)*LN(F38/F37)/1000)</f>
        <v>693.9392610012012</v>
      </c>
      <c r="H39" s="30">
        <f>(H30*8.314/H31*(H35+273.15)*LN(H38/H37)/1000)</f>
        <v>222.41782685981696</v>
      </c>
      <c r="I39" s="30">
        <f>(I30*8.314/I31*(I35+273.15)*LN(I38/I37)/1000)</f>
        <v>519.41615371583271</v>
      </c>
      <c r="K39" s="30">
        <f>(K30*8.314/K31*(K35+273.15)*LN(K38/K37)/1000)</f>
        <v>227.0272639840135</v>
      </c>
      <c r="L39" s="30">
        <f>(L30*8.314/L31*(L35+273.15)*LN(L38/L37)/1000)</f>
        <v>524.47702183999763</v>
      </c>
      <c r="N39" s="30">
        <f>(N30*8.314/N31*(N35+273.15)*LN(N38/N37)/1000)</f>
        <v>613.82186094612371</v>
      </c>
      <c r="O39" s="30">
        <f>(O30*8.314/O31*(O35+273.15)*LN(O38/O37)/1000)</f>
        <v>219.91775538323486</v>
      </c>
      <c r="P39" s="30">
        <f>(P30*8.314/P31*(P35+273.15)*LN(P38/P37)/1000)</f>
        <v>891.20328040418485</v>
      </c>
      <c r="R39" s="30">
        <f>(R30*8.314/R31*(R35+273.15)*LN(R38/R37)/1000)</f>
        <v>288.10090548766885</v>
      </c>
      <c r="S39" s="30">
        <f>(S30*8.314/S31*(S35+273.15)*LN(S38/S37)/1000)</f>
        <v>239.37167221527383</v>
      </c>
      <c r="T39" s="30">
        <f>(T30*8.314/T31*(T35+273.15)*LN(T38/T37)/1000)</f>
        <v>219.91814829502223</v>
      </c>
      <c r="U39" s="30">
        <f>(U30*8.314/U31*(U35+273.15)*LN(U38/U37)/1000)</f>
        <v>436.03508664858077</v>
      </c>
      <c r="W39" s="30">
        <f>(W30*8.314/W31*(W35+273.15)*LN(W38/W37)/1000)</f>
        <v>816.09410741221529</v>
      </c>
    </row>
    <row r="40" spans="2:31" ht="13.5" customHeight="1">
      <c r="D40" s="7" t="s">
        <v>79</v>
      </c>
      <c r="E40" s="30">
        <f>E37*10^5*E27/3600*LN(E38/E37)/1000</f>
        <v>623.54427152312462</v>
      </c>
      <c r="F40" s="30">
        <f>F37*10^5*F27/3600*LN(F38/F37)/1000</f>
        <v>694.48711626344584</v>
      </c>
      <c r="H40" s="30">
        <f>H37*10^5*H27/3600*LN(H38/H37)/1000</f>
        <v>222.3731357789205</v>
      </c>
      <c r="I40" s="30">
        <f>I37*10^5*I27/3600*LN(I38/I37)/1000</f>
        <v>519.33322430559019</v>
      </c>
      <c r="K40" s="30">
        <f>K37*10^5*K27/3600*LN(K38/K37)/1000</f>
        <v>222.3731357789205</v>
      </c>
      <c r="L40" s="30">
        <f>L37*10^5*L27/3600*LN(L38/L37)/1000</f>
        <v>520.04543849449215</v>
      </c>
      <c r="N40" s="30">
        <f>N37*10^5*N27/3600*LN(N38/N37)/1000</f>
        <v>614.3062309139334</v>
      </c>
      <c r="O40" s="30">
        <f>O37*10^5*O27/3600*LN(O38/O37)/1000</f>
        <v>220.08685048113404</v>
      </c>
      <c r="P40" s="30">
        <f>P37*10^5*P27/3600*LN(P38/P37)/1000</f>
        <v>892.62283270320017</v>
      </c>
      <c r="Q40" s="55"/>
      <c r="R40" s="30">
        <f>R37*10^5*R27/3600*LN(R38/R37)/1000</f>
        <v>288.2671845115936</v>
      </c>
      <c r="S40" s="30">
        <f>S37*10^5*S27/3600*LN(S38/S37)/1000</f>
        <v>239.50982689390565</v>
      </c>
      <c r="T40" s="30">
        <f>T37*10^5*T27/3600*LN(T38/T37)/1000</f>
        <v>220.08685048113404</v>
      </c>
      <c r="U40" s="30">
        <f>U37*10^5*U27/3600*LN(U38/U37)/1000</f>
        <v>436.72804238086024</v>
      </c>
      <c r="W40" s="30"/>
    </row>
    <row r="41" spans="2:31">
      <c r="B41" s="1">
        <f>150000/(9.81*130)</f>
        <v>117.61938367442956</v>
      </c>
      <c r="D41" s="7" t="s">
        <v>69</v>
      </c>
      <c r="E41" s="49">
        <v>0.95</v>
      </c>
      <c r="F41" s="49">
        <v>0.95</v>
      </c>
      <c r="H41" s="49">
        <v>0.95</v>
      </c>
      <c r="I41" s="49">
        <v>0.95</v>
      </c>
      <c r="K41" s="49">
        <v>0.95</v>
      </c>
      <c r="L41" s="49">
        <v>0.95</v>
      </c>
      <c r="N41" s="49">
        <v>0.95</v>
      </c>
      <c r="O41" s="49">
        <v>0.95</v>
      </c>
      <c r="P41" s="49">
        <v>0.95</v>
      </c>
      <c r="R41" s="49">
        <v>0.95</v>
      </c>
      <c r="S41" s="49">
        <v>0.95</v>
      </c>
      <c r="T41" s="49">
        <v>0.95</v>
      </c>
      <c r="U41" s="49">
        <v>0.95</v>
      </c>
      <c r="W41" s="49">
        <v>0.95</v>
      </c>
      <c r="AE41" s="1">
        <v>6520</v>
      </c>
    </row>
    <row r="42" spans="2:31">
      <c r="D42" s="7" t="s">
        <v>10</v>
      </c>
      <c r="E42" s="11">
        <f>(E30*8.314/E31*(E35+273.15)*LN(E38/E37)/1000)/E43</f>
        <v>1258.7198160204327</v>
      </c>
      <c r="F42" s="11">
        <f>(F30*8.314/F31*(F35+273.15)*LN(F38/F37)/1000)/F43</f>
        <v>1387.8785220024024</v>
      </c>
      <c r="H42" s="11">
        <v>380</v>
      </c>
      <c r="I42" s="11">
        <v>927.3</v>
      </c>
      <c r="K42" s="11">
        <v>380</v>
      </c>
      <c r="L42" s="11">
        <v>927.3</v>
      </c>
      <c r="N42" s="11">
        <f>(N30*8.314/N31*(N35+273.15)*LN(N38/N37)/1000)/N43</f>
        <v>1310.0593630371452</v>
      </c>
      <c r="O42" s="11">
        <f>(O30*8.314/O31*(O35+273.15)*LN(O38/O37)/1000)/O43</f>
        <v>444.2782937035048</v>
      </c>
      <c r="P42" s="11">
        <f>P40/P43</f>
        <v>1803.2784499054549</v>
      </c>
      <c r="Q42" s="54"/>
      <c r="R42" s="11">
        <f>(R30*8.314/R31*(R35+273.15)*LN(R38/R37)/1000)/R43</f>
        <v>544.61418806742688</v>
      </c>
      <c r="S42" s="11">
        <f>(S30*8.314/S31*(S35+273.15)*LN(S38/S37)/1000)/S43</f>
        <v>457.6896218265274</v>
      </c>
      <c r="T42" s="11">
        <f>(T30*8.314/T31*(T35+273.15)*LN(T38/T37)/1000)/T43</f>
        <v>444.27908746469137</v>
      </c>
      <c r="U42" s="11">
        <f>U40/U43</f>
        <v>882.27887349668742</v>
      </c>
      <c r="W42" s="11">
        <f>(W30*8.314/W31*(W35+273.15)*LN(W38/W37)/1000)/W43</f>
        <v>1648.6749644691217</v>
      </c>
      <c r="AE42" s="1">
        <v>6017.7</v>
      </c>
    </row>
    <row r="43" spans="2:31">
      <c r="D43" s="7" t="s">
        <v>9</v>
      </c>
      <c r="E43" s="49">
        <v>0.495</v>
      </c>
      <c r="F43" s="49">
        <v>0.5</v>
      </c>
      <c r="H43" s="64">
        <f>H39/H42</f>
        <v>0.58531007068372887</v>
      </c>
      <c r="I43" s="64">
        <f>I39/I42</f>
        <v>0.56013820092292976</v>
      </c>
      <c r="K43" s="64">
        <f>K39/K42</f>
        <v>0.59744016837898295</v>
      </c>
      <c r="L43" s="64">
        <f>L39/L42</f>
        <v>0.56559583936158486</v>
      </c>
      <c r="N43" s="49">
        <v>0.46854507380725424</v>
      </c>
      <c r="O43" s="49">
        <v>0.495</v>
      </c>
      <c r="P43" s="49">
        <v>0.495</v>
      </c>
      <c r="R43" s="49">
        <v>0.52900000000000003</v>
      </c>
      <c r="S43" s="49">
        <v>0.52300000000000002</v>
      </c>
      <c r="T43" s="49">
        <v>0.495</v>
      </c>
      <c r="U43" s="49">
        <v>0.495</v>
      </c>
      <c r="W43" s="49">
        <v>0.495</v>
      </c>
      <c r="AE43" s="1">
        <f>AE42/AE41</f>
        <v>0.92296012269938643</v>
      </c>
    </row>
    <row r="45" spans="2:31">
      <c r="D45" s="12" t="s">
        <v>11</v>
      </c>
      <c r="E45" s="9">
        <v>38</v>
      </c>
      <c r="F45" s="9">
        <v>30</v>
      </c>
      <c r="H45" s="9">
        <v>50</v>
      </c>
      <c r="I45" s="9">
        <v>57</v>
      </c>
      <c r="K45" s="9">
        <v>50</v>
      </c>
      <c r="L45" s="9">
        <v>57</v>
      </c>
      <c r="N45" s="9">
        <v>50</v>
      </c>
      <c r="O45" s="9">
        <v>38</v>
      </c>
      <c r="P45" s="9">
        <v>38</v>
      </c>
      <c r="R45" s="9">
        <v>50</v>
      </c>
      <c r="S45" s="9">
        <v>50</v>
      </c>
      <c r="T45" s="9">
        <v>38</v>
      </c>
      <c r="U45" s="9">
        <v>38</v>
      </c>
      <c r="W45" s="9">
        <v>38</v>
      </c>
    </row>
    <row r="46" spans="2:31">
      <c r="D46" s="12" t="s">
        <v>12</v>
      </c>
      <c r="E46" s="9">
        <v>3</v>
      </c>
      <c r="F46" s="9">
        <v>3</v>
      </c>
      <c r="H46" s="9">
        <v>0</v>
      </c>
      <c r="I46" s="9">
        <v>0</v>
      </c>
      <c r="K46" s="9">
        <v>0</v>
      </c>
      <c r="L46" s="9">
        <v>0</v>
      </c>
      <c r="N46" s="9">
        <v>3</v>
      </c>
      <c r="O46" s="9">
        <v>10</v>
      </c>
      <c r="P46" s="9">
        <v>10</v>
      </c>
      <c r="R46" s="9">
        <v>0</v>
      </c>
      <c r="S46" s="9">
        <v>0</v>
      </c>
      <c r="T46" s="9">
        <v>10</v>
      </c>
      <c r="U46" s="9">
        <v>10</v>
      </c>
      <c r="W46" s="9">
        <v>10</v>
      </c>
    </row>
    <row r="47" spans="2:31">
      <c r="D47" s="12" t="s">
        <v>13</v>
      </c>
      <c r="E47" s="9">
        <v>7</v>
      </c>
      <c r="F47" s="9">
        <v>3</v>
      </c>
      <c r="H47" s="9"/>
      <c r="I47" s="9">
        <v>3</v>
      </c>
      <c r="K47" s="9"/>
      <c r="L47" s="9">
        <v>3</v>
      </c>
      <c r="N47" s="9">
        <v>3</v>
      </c>
      <c r="O47" s="9">
        <v>7</v>
      </c>
      <c r="P47" s="9">
        <v>7</v>
      </c>
      <c r="R47" s="9">
        <v>3</v>
      </c>
      <c r="S47" s="9">
        <v>3</v>
      </c>
      <c r="T47" s="9">
        <v>7</v>
      </c>
      <c r="U47" s="9">
        <v>7</v>
      </c>
      <c r="W47" s="9">
        <v>7</v>
      </c>
    </row>
    <row r="49" spans="3:23">
      <c r="C49" s="50">
        <f>E49+273.15</f>
        <v>342.95</v>
      </c>
      <c r="D49" s="12" t="s">
        <v>14</v>
      </c>
      <c r="E49" s="9">
        <f>342.95-273.15</f>
        <v>69.800000000000011</v>
      </c>
      <c r="F49" s="9">
        <v>72</v>
      </c>
      <c r="H49" s="9">
        <v>57</v>
      </c>
      <c r="I49" s="9">
        <v>77</v>
      </c>
      <c r="K49" s="74">
        <v>57</v>
      </c>
      <c r="L49" s="74">
        <v>71.7</v>
      </c>
      <c r="N49" s="9">
        <v>77</v>
      </c>
      <c r="O49" s="9">
        <f>342.95-273.15</f>
        <v>69.800000000000011</v>
      </c>
      <c r="P49" s="9">
        <f>342.95-273.15</f>
        <v>69.800000000000011</v>
      </c>
      <c r="R49" s="9">
        <v>95.6</v>
      </c>
      <c r="S49" s="9">
        <v>89.5</v>
      </c>
      <c r="T49" s="9">
        <f>342.95-273.15</f>
        <v>69.800000000000011</v>
      </c>
      <c r="U49" s="9">
        <f>342.95-273.15</f>
        <v>69.800000000000011</v>
      </c>
      <c r="W49" s="9">
        <f>342.95-273.15</f>
        <v>69.800000000000011</v>
      </c>
    </row>
    <row r="50" spans="3:23">
      <c r="C50" s="50">
        <f>E50+273.15</f>
        <v>318.14999999999998</v>
      </c>
      <c r="D50" s="7" t="s">
        <v>15</v>
      </c>
      <c r="E50" s="13">
        <f t="shared" ref="E50:F50" si="3">E45+E47</f>
        <v>45</v>
      </c>
      <c r="F50" s="13">
        <f t="shared" si="3"/>
        <v>33</v>
      </c>
      <c r="H50" s="13">
        <v>57</v>
      </c>
      <c r="I50" s="13">
        <f t="shared" ref="I50" si="4">I45+I47</f>
        <v>60</v>
      </c>
      <c r="K50" s="13">
        <v>57</v>
      </c>
      <c r="L50" s="13">
        <f t="shared" ref="L50" si="5">L45+L47</f>
        <v>60</v>
      </c>
      <c r="N50" s="13">
        <f>N45+N47</f>
        <v>53</v>
      </c>
      <c r="O50" s="13">
        <f t="shared" ref="O50:P50" si="6">O45+O47</f>
        <v>45</v>
      </c>
      <c r="P50" s="13">
        <f t="shared" si="6"/>
        <v>45</v>
      </c>
      <c r="R50" s="13">
        <f t="shared" ref="R50:S50" si="7">R45+R47</f>
        <v>53</v>
      </c>
      <c r="S50" s="13">
        <f t="shared" si="7"/>
        <v>53</v>
      </c>
      <c r="T50" s="13">
        <f t="shared" ref="T50:U50" si="8">T45+T47</f>
        <v>45</v>
      </c>
      <c r="U50" s="13">
        <f t="shared" si="8"/>
        <v>45</v>
      </c>
      <c r="W50" s="13">
        <f t="shared" ref="W50" si="9">W45+W47</f>
        <v>45</v>
      </c>
    </row>
    <row r="52" spans="3:23">
      <c r="D52" s="12" t="s">
        <v>16</v>
      </c>
      <c r="E52" s="9">
        <v>10</v>
      </c>
      <c r="F52" s="9">
        <v>10</v>
      </c>
      <c r="H52" s="9">
        <v>10</v>
      </c>
      <c r="I52" s="9">
        <v>10</v>
      </c>
      <c r="K52" s="9">
        <v>10</v>
      </c>
      <c r="L52" s="9">
        <v>10</v>
      </c>
      <c r="N52" s="9">
        <v>10</v>
      </c>
      <c r="O52" s="9">
        <v>10</v>
      </c>
      <c r="P52" s="9">
        <v>10</v>
      </c>
      <c r="R52" s="9">
        <v>10</v>
      </c>
      <c r="S52" s="9">
        <v>10</v>
      </c>
      <c r="T52" s="9">
        <v>10</v>
      </c>
      <c r="U52" s="9">
        <v>10</v>
      </c>
      <c r="W52" s="9">
        <v>10</v>
      </c>
    </row>
    <row r="53" spans="3:23">
      <c r="D53" s="7" t="s">
        <v>17</v>
      </c>
      <c r="E53" s="28">
        <f>E42/(E52*4.18)*3.6</f>
        <v>108.40649133190331</v>
      </c>
      <c r="F53" s="28">
        <f>F42/(F52*4.18)*3.6</f>
        <v>119.53020763657057</v>
      </c>
      <c r="H53" s="28">
        <f>H42/(H52*4.18)*3.6</f>
        <v>32.727272727272734</v>
      </c>
      <c r="I53" s="28">
        <f>I42/(I52*4.18)*3.6</f>
        <v>79.863157894736844</v>
      </c>
      <c r="K53" s="28">
        <f>K42/(K52*4.18)*3.6</f>
        <v>32.727272727272734</v>
      </c>
      <c r="L53" s="28">
        <f>L42/(L52*4.18)*3.6</f>
        <v>79.863157894736844</v>
      </c>
      <c r="N53" s="28">
        <f>N42/(N52*4.18)*3.6</f>
        <v>112.82807911324696</v>
      </c>
      <c r="O53" s="28">
        <f>O42/(O52*4.18)*3.6</f>
        <v>38.263202328531513</v>
      </c>
      <c r="P53" s="28">
        <f>P42/(P52*4.18)*3.6</f>
        <v>155.30627798228801</v>
      </c>
      <c r="R53" s="28">
        <f>R42/(R52*4.18)*3.6</f>
        <v>46.904571221118111</v>
      </c>
      <c r="S53" s="28">
        <f>S42/(S52*4.18)*3.6</f>
        <v>39.418244941997578</v>
      </c>
      <c r="T53" s="28">
        <f>T42/(T52*4.18)*3.6</f>
        <v>38.263270690738977</v>
      </c>
      <c r="U53" s="28">
        <f>U42/(U52*4.18)*3.6</f>
        <v>75.98574030115013</v>
      </c>
      <c r="W53" s="28">
        <f>W42/(W52*4.18)*3.6</f>
        <v>141.99114526528322</v>
      </c>
    </row>
    <row r="54" spans="3:23">
      <c r="D54" s="12" t="s">
        <v>18</v>
      </c>
      <c r="E54" s="14">
        <f t="shared" ref="E54:F54" si="10">E53-E55</f>
        <v>103.80695908787972</v>
      </c>
      <c r="F54" s="14">
        <f t="shared" si="10"/>
        <v>111.61660577952796</v>
      </c>
      <c r="H54" s="14">
        <f t="shared" ref="H54" si="11">H53-H55</f>
        <v>32.727272727272734</v>
      </c>
      <c r="I54" s="14">
        <f t="shared" ref="I54:N54" si="12">I53-I55</f>
        <v>75.738446485849877</v>
      </c>
      <c r="K54" s="14">
        <f t="shared" ref="K54:L54" si="13">K53-K55</f>
        <v>32.727272727272734</v>
      </c>
      <c r="L54" s="14">
        <f t="shared" si="13"/>
        <v>75.90857725991863</v>
      </c>
      <c r="N54" s="14">
        <f t="shared" si="12"/>
        <v>108.57906227979967</v>
      </c>
      <c r="O54" s="14">
        <f t="shared" ref="O54:P54" si="14">O53-O55</f>
        <v>33.19849218722468</v>
      </c>
      <c r="P54" s="14">
        <f t="shared" si="14"/>
        <v>146.49970868553774</v>
      </c>
      <c r="R54" s="14">
        <f t="shared" ref="R54:S54" si="15">R53-R55</f>
        <v>41.162442255277313</v>
      </c>
      <c r="S54" s="14">
        <f t="shared" si="15"/>
        <v>35.330494838844032</v>
      </c>
      <c r="T54" s="14">
        <f t="shared" ref="T54:U54" si="16">T53-T55</f>
        <v>33.084196473664484</v>
      </c>
      <c r="U54" s="14">
        <f t="shared" si="16"/>
        <v>71.57955179177479</v>
      </c>
      <c r="W54" s="14">
        <f t="shared" ref="W54" si="17">W53-W55</f>
        <v>135.96666423108053</v>
      </c>
    </row>
    <row r="55" spans="3:23">
      <c r="D55" s="12" t="s">
        <v>19</v>
      </c>
      <c r="E55" s="14">
        <f>E30*E33*(E49-E50)/(4.18*E52)*3.6/1000</f>
        <v>4.5995322440235977</v>
      </c>
      <c r="F55" s="14">
        <f>F30*F33*(F49-F50)/(4.18*F52)*3.6/1000</f>
        <v>7.9136018570426083</v>
      </c>
      <c r="H55" s="14">
        <f>H30*H33*(H49-H50)/(4.18*H52)*3.6/1000</f>
        <v>0</v>
      </c>
      <c r="I55" s="14">
        <f>I30*I33*(I49-I50)/(4.18*I52)*3.6/1000</f>
        <v>4.1247114088869727</v>
      </c>
      <c r="K55" s="14">
        <f>K30*K33*(K49-K50)/(4.18*K52)*3.6/1000</f>
        <v>0</v>
      </c>
      <c r="L55" s="14">
        <f>L30*L33*(L49-L50)/(4.18*L52)*3.6/1000</f>
        <v>3.95458063481821</v>
      </c>
      <c r="N55" s="14">
        <f>N30*N33*(N49-N50)/(4.18*N52)*3.6/1000</f>
        <v>4.2490168334472918</v>
      </c>
      <c r="O55" s="14">
        <f>O30*O33*(O49-O50)/(4.18*O52)*3.6/1000</f>
        <v>5.0647101413068336</v>
      </c>
      <c r="P55" s="14">
        <f>P30*P33*(P49-P50)/(4.18*P52)*3.6/1000</f>
        <v>8.8065692967502809</v>
      </c>
      <c r="R55" s="14">
        <f>R30*R33*(R49-R50)/(4.18*R52)*3.6/1000</f>
        <v>5.7421289658408003</v>
      </c>
      <c r="S55" s="14">
        <f>S30*S33*(S49-S50)/(4.18*S52)*3.6/1000</f>
        <v>4.0877501031535495</v>
      </c>
      <c r="T55" s="14">
        <f>T30*T33*(T49-T50)/(4.18*T52)*3.6/1000</f>
        <v>5.1790742170744961</v>
      </c>
      <c r="U55" s="14">
        <f>U30*U33*(U49-U50)/(4.18*U52)*3.6/1000</f>
        <v>4.406188509375343</v>
      </c>
      <c r="W55" s="14">
        <f>W30*W33*(W49-W50)/(4.18*W52)*3.6/1000</f>
        <v>6.0244810342026822</v>
      </c>
    </row>
    <row r="57" spans="3:23">
      <c r="D57" s="7" t="s">
        <v>20</v>
      </c>
      <c r="E57" s="13">
        <f t="shared" ref="E57:F57" si="18">E45+E46</f>
        <v>41</v>
      </c>
      <c r="F57" s="13">
        <f t="shared" si="18"/>
        <v>33</v>
      </c>
      <c r="H57" s="13">
        <f t="shared" ref="H57" si="19">H45+H46</f>
        <v>50</v>
      </c>
      <c r="I57" s="13">
        <f t="shared" ref="I57:N57" si="20">I45+I46</f>
        <v>57</v>
      </c>
      <c r="K57" s="13">
        <f t="shared" ref="K57:L57" si="21">K45+K46</f>
        <v>50</v>
      </c>
      <c r="L57" s="13">
        <f t="shared" si="21"/>
        <v>57</v>
      </c>
      <c r="N57" s="13">
        <f t="shared" si="20"/>
        <v>53</v>
      </c>
      <c r="O57" s="13">
        <f t="shared" ref="O57:P57" si="22">O45+O46</f>
        <v>48</v>
      </c>
      <c r="P57" s="13">
        <f t="shared" si="22"/>
        <v>48</v>
      </c>
      <c r="R57" s="13">
        <f t="shared" ref="R57:S57" si="23">R45+R46</f>
        <v>50</v>
      </c>
      <c r="S57" s="13">
        <f t="shared" si="23"/>
        <v>50</v>
      </c>
      <c r="T57" s="13">
        <f t="shared" ref="T57:U57" si="24">T45+T46</f>
        <v>48</v>
      </c>
      <c r="U57" s="13">
        <f t="shared" si="24"/>
        <v>48</v>
      </c>
      <c r="W57" s="13">
        <f t="shared" ref="W57" si="25">W45+W46</f>
        <v>48</v>
      </c>
    </row>
    <row r="58" spans="3:23">
      <c r="D58" s="7" t="s">
        <v>21</v>
      </c>
      <c r="E58" s="15">
        <v>2.19</v>
      </c>
      <c r="F58" s="15">
        <v>2.19</v>
      </c>
      <c r="H58" s="15">
        <v>1.95</v>
      </c>
      <c r="I58" s="15">
        <v>1.95</v>
      </c>
      <c r="K58" s="15">
        <v>1.95</v>
      </c>
      <c r="L58" s="15">
        <v>1.95</v>
      </c>
      <c r="N58" s="15">
        <v>2.19</v>
      </c>
      <c r="O58" s="15">
        <v>2.19</v>
      </c>
      <c r="P58" s="15">
        <v>2.19</v>
      </c>
      <c r="R58" s="15">
        <v>2</v>
      </c>
      <c r="S58" s="15">
        <v>2</v>
      </c>
      <c r="T58" s="15">
        <v>2.19</v>
      </c>
      <c r="U58" s="15">
        <v>2.19</v>
      </c>
      <c r="W58" s="15">
        <v>2.19</v>
      </c>
    </row>
    <row r="59" spans="3:23">
      <c r="D59" s="7" t="s">
        <v>22</v>
      </c>
      <c r="E59" s="16">
        <v>980</v>
      </c>
      <c r="F59" s="16">
        <v>980</v>
      </c>
      <c r="H59" s="16">
        <v>983</v>
      </c>
      <c r="I59" s="16">
        <v>983</v>
      </c>
      <c r="K59" s="16">
        <v>983</v>
      </c>
      <c r="L59" s="16">
        <v>983</v>
      </c>
      <c r="N59" s="16">
        <v>980</v>
      </c>
      <c r="O59" s="16">
        <v>980</v>
      </c>
      <c r="P59" s="16">
        <v>980</v>
      </c>
      <c r="R59" s="16">
        <v>879</v>
      </c>
      <c r="S59" s="16">
        <v>879</v>
      </c>
      <c r="T59" s="16">
        <v>980</v>
      </c>
      <c r="U59" s="16">
        <v>980</v>
      </c>
      <c r="W59" s="16">
        <v>980</v>
      </c>
    </row>
    <row r="60" spans="3:23">
      <c r="D60" s="17" t="s">
        <v>23</v>
      </c>
      <c r="E60" s="18">
        <f t="shared" ref="E60:F60" si="26">E61/E59*10^6</f>
        <v>14.408110192715144</v>
      </c>
      <c r="F60" s="18">
        <f t="shared" si="26"/>
        <v>13.674787009948611</v>
      </c>
      <c r="H60" s="18">
        <f>H61/H59*10^6</f>
        <v>19.780182792725395</v>
      </c>
      <c r="I60" s="18">
        <f>I61/I59*10^6</f>
        <v>12.101173021693731</v>
      </c>
      <c r="K60" s="18">
        <f>K61/K59*10^6</f>
        <v>19.780182792725395</v>
      </c>
      <c r="L60" s="18">
        <f>L61/L59*10^6</f>
        <v>13.730449854118293</v>
      </c>
      <c r="N60" s="18">
        <f t="shared" ref="N60" si="27">N61/N59*10^6</f>
        <v>12.138217428902996</v>
      </c>
      <c r="O60" s="18">
        <f t="shared" ref="O60:P60" si="28">O61/O59*10^6</f>
        <v>14.408110192715144</v>
      </c>
      <c r="P60" s="18">
        <f t="shared" si="28"/>
        <v>14.408110192715144</v>
      </c>
      <c r="R60" s="18">
        <f>R61/R59*10^6</f>
        <v>8.5440217599148056</v>
      </c>
      <c r="S60" s="18">
        <f>S61/S59*10^6</f>
        <v>9.9331106577234767</v>
      </c>
      <c r="T60" s="18">
        <f t="shared" ref="T60:U60" si="29">T61/T59*10^6</f>
        <v>14.408110192715144</v>
      </c>
      <c r="U60" s="18">
        <f t="shared" si="29"/>
        <v>14.408110192715144</v>
      </c>
      <c r="W60" s="18">
        <f t="shared" ref="W60" si="30">W61/W59*10^6</f>
        <v>14.408110192715144</v>
      </c>
    </row>
    <row r="61" spans="3:23">
      <c r="D61" s="17" t="s">
        <v>24</v>
      </c>
      <c r="E61" s="19">
        <f>[2]!mu_("BREOXB35",E38,E49+273)</f>
        <v>1.4119947988860841E-2</v>
      </c>
      <c r="F61" s="19">
        <f>[2]!mu_("BREOXB35",F38,F49+273)</f>
        <v>1.3401291269749638E-2</v>
      </c>
      <c r="H61" s="19">
        <f>[2]!mu_("BREOXB35",H38,H49+273)</f>
        <v>1.9443919685249063E-2</v>
      </c>
      <c r="I61" s="19">
        <f>[2]!mu_("BREOXB35",I38,I49+273)</f>
        <v>1.1895453080324936E-2</v>
      </c>
      <c r="K61" s="19">
        <f>[2]!mu_("BREOXB35",K38,K49+273)</f>
        <v>1.9443919685249063E-2</v>
      </c>
      <c r="L61" s="19">
        <f>[2]!mu_("BREOXB35",L38,L49+273)</f>
        <v>1.3497032206598281E-2</v>
      </c>
      <c r="N61" s="19">
        <f>[2]!mu_("BREOXB35",N38,N49+273)</f>
        <v>1.1895453080324936E-2</v>
      </c>
      <c r="O61" s="19">
        <f>[2]!mu_("BREOXB35",O38,O49+273)</f>
        <v>1.4119947988860841E-2</v>
      </c>
      <c r="P61" s="19">
        <f>[2]!mu_("BREOXB35",P38,P49+273)</f>
        <v>1.4119947988860841E-2</v>
      </c>
      <c r="R61" s="19">
        <f>[2]!mu_("BREOXB35",R38,R49+273)</f>
        <v>7.5101951269651145E-3</v>
      </c>
      <c r="S61" s="19">
        <f>[2]!mu_("BREOXB35",S38,S49+273)</f>
        <v>8.7312042681389358E-3</v>
      </c>
      <c r="T61" s="19">
        <f>[2]!mu_("BREOXB35",T38,T49+273)</f>
        <v>1.4119947988860841E-2</v>
      </c>
      <c r="U61" s="19">
        <f>[2]!mu_("BREOXB35",U38,U49+273)</f>
        <v>1.4119947988860841E-2</v>
      </c>
      <c r="W61" s="19">
        <f>[2]!mu_("BREOXB35",W38,W49+273)</f>
        <v>1.4119947988860841E-2</v>
      </c>
    </row>
    <row r="63" spans="3:23">
      <c r="O63" s="21">
        <f>4.18*O54*3600/(O58*(O49-O57))</f>
        <v>10463.971145602545</v>
      </c>
      <c r="P63" s="21">
        <f>4.18*P54*3600/(P58*(P49-P57))</f>
        <v>46175.853887561701</v>
      </c>
      <c r="T63" s="21">
        <f>4.18*T54*3600/(T58*(T49-T57))</f>
        <v>10427.945803185934</v>
      </c>
      <c r="U63" s="21">
        <f>4.18*U54*3600/(U58*(U49-U57))</f>
        <v>22561.457319815392</v>
      </c>
      <c r="W63" s="21">
        <f>4.18*W54*3600/(W58*(W49-W57))</f>
        <v>42855.899697316803</v>
      </c>
    </row>
    <row r="64" spans="3:23">
      <c r="D64" s="7" t="s">
        <v>26</v>
      </c>
      <c r="E64" s="13">
        <f>(273.15+E35)*(E38/E37)^((E32-1)/E32)-273.15</f>
        <v>516.89267109284151</v>
      </c>
      <c r="F64" s="13">
        <f>(273.15+F35)*(F38/F37)^((F32-1)/F32)-273.15</f>
        <v>530.4634289483713</v>
      </c>
      <c r="H64" s="13">
        <f>(273.15+H35)*(H38/H37)^((H32-1)/H32)-273.15</f>
        <v>131.92450375136536</v>
      </c>
      <c r="I64" s="13">
        <f>(273.15+I35)*(I38/I37)^((I32-1)/I32)-273.15</f>
        <v>308.14062304567108</v>
      </c>
      <c r="K64" s="13">
        <f>(273.15+K35)*(K38/K37)^((K32-1)/K32)-273.15</f>
        <v>131.64508923302139</v>
      </c>
      <c r="L64" s="13">
        <f>(273.15+L35)*(L38/L37)^((L32-1)/L32)-273.15</f>
        <v>305.56823052729976</v>
      </c>
      <c r="N64" s="13">
        <f>(273.15+N35)*(N38/N37)^((N32-1)/N32)-273.15</f>
        <v>541.6926660534391</v>
      </c>
      <c r="O64" s="22">
        <f t="shared" ref="O64:P64" si="31">O63*3.6/980</f>
        <v>38.439077677723638</v>
      </c>
      <c r="P64" s="22">
        <f t="shared" si="31"/>
        <v>169.62558570941033</v>
      </c>
      <c r="R64" s="13">
        <f>(273.15+R35)*(R38/R37)^((R32-1)/R32)-273.15</f>
        <v>290.78483629438358</v>
      </c>
      <c r="S64" s="13">
        <f>(273.15+S35)*(S38/S37)^((S32-1)/S32)-273.15</f>
        <v>290.78483629438358</v>
      </c>
      <c r="T64" s="22">
        <f t="shared" ref="T64:U64" si="32">T63*3.6/980</f>
        <v>38.306739685172815</v>
      </c>
      <c r="U64" s="22">
        <f t="shared" si="32"/>
        <v>82.878822807485122</v>
      </c>
      <c r="W64" s="22">
        <f t="shared" ref="W64" si="33">W63*3.6/980</f>
        <v>157.42983562279642</v>
      </c>
    </row>
    <row r="65" spans="2:23">
      <c r="D65" s="7" t="s">
        <v>74</v>
      </c>
      <c r="E65" s="13">
        <f>E64-E49</f>
        <v>447.0926710928415</v>
      </c>
      <c r="F65" s="13">
        <f>F64-F49</f>
        <v>458.4634289483713</v>
      </c>
      <c r="H65" s="13">
        <f>H64-H49</f>
        <v>74.924503751365364</v>
      </c>
      <c r="I65" s="13">
        <f>I64-I49</f>
        <v>231.14062304567108</v>
      </c>
      <c r="K65" s="13">
        <f>K64-K49</f>
        <v>74.645089233021395</v>
      </c>
      <c r="L65" s="13">
        <f>L64-L49</f>
        <v>233.86823052729977</v>
      </c>
      <c r="N65" s="13">
        <f>N64-N49</f>
        <v>464.6926660534391</v>
      </c>
      <c r="R65" s="13">
        <f>R64-R49</f>
        <v>195.18483629438359</v>
      </c>
      <c r="S65" s="13">
        <f>S64-S49</f>
        <v>201.28483629438358</v>
      </c>
    </row>
    <row r="66" spans="2:23">
      <c r="D66" s="7" t="s">
        <v>75</v>
      </c>
      <c r="E66" s="24">
        <f>E33*E65*E30/1000</f>
        <v>962.793874915895</v>
      </c>
      <c r="F66" s="24">
        <f>F33*F65*F30/1000</f>
        <v>1080.1599457646696</v>
      </c>
      <c r="H66" s="24">
        <f>H33*H65*H30/1000/H43</f>
        <v>355.23765337443177</v>
      </c>
      <c r="I66" s="24">
        <f>I33*I65*I30/1000/I43</f>
        <v>1162.5175420517892</v>
      </c>
      <c r="K66" s="24">
        <f>K33*K65*K30/1000</f>
        <v>292.21091816186595</v>
      </c>
      <c r="L66" s="24">
        <f>L33*L65*L30/1000</f>
        <v>917.82436889066582</v>
      </c>
      <c r="N66" s="24">
        <f>N33*N65*N30/1000</f>
        <v>955.2494785464761</v>
      </c>
      <c r="R66" s="24">
        <f>R33*R65*R30/1000</f>
        <v>305.48029336904648</v>
      </c>
      <c r="S66" s="24">
        <f>S33*S65*S30/1000</f>
        <v>261.74374590266797</v>
      </c>
    </row>
    <row r="67" spans="2:23">
      <c r="D67" s="7" t="s">
        <v>25</v>
      </c>
      <c r="E67" s="22">
        <f>E66/(E58*(E49-E46-E57))*3600/E59</f>
        <v>62.595905033833375</v>
      </c>
      <c r="F67" s="22">
        <f>F66/(F58*(F49-F46-F57))*3600/F59</f>
        <v>50.328950972167995</v>
      </c>
      <c r="H67" s="22">
        <f>H66/(H58*(H49-H46-H57))*3600/H59</f>
        <v>95.309309704385115</v>
      </c>
      <c r="I67" s="22">
        <f>I66/(I58*(I49-I46-I57))*3600/I59</f>
        <v>109.16511859004203</v>
      </c>
      <c r="K67" s="22">
        <f>K66/(K58*(K49-K46-K57))*3600/K59</f>
        <v>78.399405675436071</v>
      </c>
      <c r="L67" s="22">
        <f>L66/(L58*(L49-L46-L57))*3600/L59</f>
        <v>117.26181747678071</v>
      </c>
      <c r="N67" s="22">
        <f>N66/(N58*(N49-N46-N57))*3600/N59</f>
        <v>76.300928834735899</v>
      </c>
      <c r="R67" s="22">
        <f>R66/(R58*(R49-R46-R57))*3600/R59</f>
        <v>13.718353393616244</v>
      </c>
      <c r="S67" s="22">
        <f>S66/(S58*(S49-S46-S57))*3600/S59</f>
        <v>13.569468833248436</v>
      </c>
    </row>
    <row r="68" spans="2:23">
      <c r="B68" s="1">
        <f>1478*60/1000*983*1950</f>
        <v>169986258</v>
      </c>
      <c r="D68" s="59"/>
      <c r="E68" s="58"/>
      <c r="F68" s="58"/>
      <c r="H68" s="61">
        <f>H67*1000/60</f>
        <v>1588.4884950730852</v>
      </c>
      <c r="I68" s="61">
        <f>I67*1000/60</f>
        <v>1819.418643167367</v>
      </c>
      <c r="K68" s="61">
        <f>K67*1000/60</f>
        <v>1306.6567612572678</v>
      </c>
      <c r="L68" s="61">
        <f>L67*1000/60</f>
        <v>1954.3636246130118</v>
      </c>
      <c r="N68" s="58"/>
      <c r="R68" s="58"/>
      <c r="S68" s="58"/>
    </row>
    <row r="69" spans="2:23"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</row>
    <row r="70" spans="2:23">
      <c r="D70" s="7" t="s">
        <v>75</v>
      </c>
      <c r="E70" s="13">
        <f>(273.15+E40)*(E43/E42)^((E37-1)/E37)-273.15</f>
        <v>-200.05841570742723</v>
      </c>
      <c r="F70" s="13">
        <f>(273.15+F40)*(F43/F42)^((F37-1)/F37)-273.15</f>
        <v>-196.45493340749647</v>
      </c>
      <c r="H70" s="24">
        <f>0.93*H42</f>
        <v>353.40000000000003</v>
      </c>
      <c r="I70" s="24">
        <f>0.93*I42</f>
        <v>862.38900000000001</v>
      </c>
      <c r="K70" s="24">
        <f>0.93*K42</f>
        <v>353.40000000000003</v>
      </c>
      <c r="L70" s="24">
        <f>0.93*L42</f>
        <v>862.38900000000001</v>
      </c>
      <c r="N70" s="13">
        <f>(273.15+N40)*(N43/N42)^((N37-1)/N37)-273.15</f>
        <v>-202.97343523355639</v>
      </c>
      <c r="O70" s="22">
        <f t="shared" ref="O70:P70" si="34">O68*3.6/980</f>
        <v>0</v>
      </c>
      <c r="P70" s="22">
        <f t="shared" si="34"/>
        <v>0</v>
      </c>
      <c r="R70" s="24">
        <f>0.85*R42</f>
        <v>462.92205985731283</v>
      </c>
      <c r="S70" s="13">
        <f>(273.15+S40)*(S43/S42)^((S37-1)/S37)-273.15</f>
        <v>-61.274321132696969</v>
      </c>
      <c r="T70" s="22">
        <f t="shared" ref="T70:U70" si="35">T68*3.6/980</f>
        <v>0</v>
      </c>
      <c r="U70" s="22">
        <f t="shared" si="35"/>
        <v>0</v>
      </c>
      <c r="W70" s="22">
        <f t="shared" ref="W70" si="36">W68*3.6/980</f>
        <v>0</v>
      </c>
    </row>
    <row r="71" spans="2:23">
      <c r="D71" s="7" t="s">
        <v>1</v>
      </c>
      <c r="E71" s="13">
        <f>E70-E54</f>
        <v>-303.86537479530693</v>
      </c>
      <c r="F71" s="13">
        <f>F70-F54</f>
        <v>-308.07153918702443</v>
      </c>
      <c r="H71" s="13"/>
      <c r="I71" s="13"/>
      <c r="K71" s="13"/>
      <c r="L71" s="13"/>
      <c r="N71" s="13">
        <f>N70-N54</f>
        <v>-311.55249751335606</v>
      </c>
      <c r="R71" s="13"/>
      <c r="S71" s="13">
        <f>S70-S54</f>
        <v>-96.604815971541001</v>
      </c>
    </row>
    <row r="72" spans="2:23">
      <c r="D72" s="7" t="s">
        <v>25</v>
      </c>
      <c r="E72" s="24">
        <f>E38*E71*E35/1000</f>
        <v>-256.70546862707533</v>
      </c>
      <c r="F72" s="24">
        <f>F38*F71*F35/1000</f>
        <v>-272.33524064132962</v>
      </c>
      <c r="H72" s="60">
        <f>H70/(H58*(H49-H57))*3600/H59</f>
        <v>94.816272232345469</v>
      </c>
      <c r="I72" s="60">
        <f>I70/(I58*(I49-I57))*3600/I59</f>
        <v>80.98182956412866</v>
      </c>
      <c r="K72" s="60">
        <f>K70/(K58*(K49-K57))*3600/K59</f>
        <v>94.816272232345469</v>
      </c>
      <c r="L72" s="60">
        <f>L70/(L58*(L49-L57))*3600/L59</f>
        <v>110.17935995119541</v>
      </c>
      <c r="N72" s="24">
        <f>N38*N71*N35/1000</f>
        <v>-319.02975745367661</v>
      </c>
      <c r="R72" s="60">
        <f>R70/(R58*(R49-R57))*3600/R59</f>
        <v>20.788668037421989</v>
      </c>
      <c r="S72" s="24">
        <f>S38*S71*S35/1000</f>
        <v>-19.320963194308202</v>
      </c>
    </row>
    <row r="73" spans="2:23">
      <c r="D73" s="7" t="s">
        <v>25</v>
      </c>
      <c r="E73" s="22" t="e">
        <f>E72/(E63*(E54-E51-E62))*3600/E64</f>
        <v>#DIV/0!</v>
      </c>
      <c r="F73" s="22" t="e">
        <f>F72/(F63*(F54-F51-F62))*3600/F64</f>
        <v>#DIV/0!</v>
      </c>
      <c r="H73" s="61">
        <f>H72*1000/60</f>
        <v>1580.2712038724244</v>
      </c>
      <c r="I73" s="61">
        <f>I72*1000/60</f>
        <v>1349.6971594021443</v>
      </c>
      <c r="K73" s="61">
        <f>K72*1000/60</f>
        <v>1580.2712038724244</v>
      </c>
      <c r="L73" s="61">
        <f>L72*1000/60</f>
        <v>1836.3226658532569</v>
      </c>
      <c r="N73" s="22" t="e">
        <f>N72/(N63*(N54-N51-N62))*3600/N64</f>
        <v>#DIV/0!</v>
      </c>
      <c r="R73" s="61">
        <f>R72*1000/60</f>
        <v>346.47780062369981</v>
      </c>
      <c r="S73" s="22" t="e">
        <f>S72/(S63*(S54-S51-S62))*3600/S64</f>
        <v>#DIV/0!</v>
      </c>
    </row>
    <row r="74" spans="2:23">
      <c r="D74" s="59"/>
      <c r="E74" s="58"/>
      <c r="F74" s="58"/>
      <c r="H74" s="58"/>
      <c r="I74" s="58"/>
      <c r="K74" s="58"/>
      <c r="L74" s="58"/>
      <c r="N74" s="58"/>
      <c r="R74" s="58"/>
      <c r="S74" s="58"/>
    </row>
    <row r="75" spans="2:23">
      <c r="D75" s="59"/>
      <c r="E75" s="58"/>
      <c r="F75" s="58"/>
      <c r="H75" s="19">
        <f>1219/1309</f>
        <v>0.93124522536287246</v>
      </c>
      <c r="I75" s="58"/>
      <c r="K75" s="19">
        <f>1219/1309</f>
        <v>0.93124522536287246</v>
      </c>
      <c r="L75" s="58"/>
      <c r="N75" s="58"/>
      <c r="R75" s="58"/>
      <c r="S75" s="58"/>
    </row>
    <row r="76" spans="2:23">
      <c r="D76" s="59"/>
      <c r="E76" s="58"/>
      <c r="F76" s="58"/>
      <c r="H76" s="61">
        <f>H73-I73</f>
        <v>230.57404447028011</v>
      </c>
      <c r="I76" s="58"/>
      <c r="K76" s="61">
        <f>K73-L73</f>
        <v>-256.05146198083253</v>
      </c>
      <c r="L76" s="58"/>
      <c r="N76" s="58"/>
      <c r="R76" s="58"/>
      <c r="S76" s="58"/>
    </row>
    <row r="77" spans="2:23">
      <c r="D77" s="59"/>
      <c r="E77" s="58"/>
      <c r="F77" s="58"/>
      <c r="H77" s="58"/>
      <c r="I77" s="58"/>
      <c r="K77" s="58"/>
      <c r="L77" s="58"/>
      <c r="N77" s="58"/>
      <c r="R77" s="58"/>
      <c r="S77" s="58"/>
    </row>
    <row r="78" spans="2:23">
      <c r="D78" s="59"/>
      <c r="E78" s="58"/>
      <c r="F78" s="58"/>
      <c r="H78" s="1">
        <f>[1]!enthalpy(H4,"TP","SI with C",H35,H37/10)*H30</f>
        <v>863115.65719123546</v>
      </c>
      <c r="I78" s="58"/>
      <c r="K78" s="58"/>
      <c r="L78" s="58"/>
      <c r="N78" s="58"/>
      <c r="R78" s="58"/>
      <c r="S78" s="58"/>
    </row>
    <row r="79" spans="2:23">
      <c r="H79" s="1">
        <f>[1]!enthalpy(H4,"TP","SI with C",I45,H38/10)*H30</f>
        <v>909233.40929289395</v>
      </c>
      <c r="K79" s="1">
        <f>(K67-L67)/60*1000</f>
        <v>-647.70686335574385</v>
      </c>
      <c r="R79" s="1">
        <f>R67/60*1000</f>
        <v>228.63922322693739</v>
      </c>
      <c r="S79" s="1">
        <f>S67/60*1000</f>
        <v>226.15781388747394</v>
      </c>
    </row>
    <row r="80" spans="2:23">
      <c r="E80" s="52">
        <f>E24-E27</f>
        <v>1095.6847759374996</v>
      </c>
      <c r="H80" s="1">
        <f>(H79-H78)/1000</f>
        <v>46.117752101658496</v>
      </c>
      <c r="K80" s="1">
        <f>(629+772.3+232.1+44.1+276.2)*60/1000</f>
        <v>117.22199999999998</v>
      </c>
      <c r="O80" s="13">
        <f>(273.15+O35)*(O38/O37)^((O32-1)/O32)-273.15</f>
        <v>148.31801076851332</v>
      </c>
      <c r="P80" s="13">
        <f>(273.15+P35)*(P38/P37)^((P32-1)/P32)-273.15</f>
        <v>354.12391655083843</v>
      </c>
      <c r="T80" s="13">
        <f>(273.15+T35)*(T38/T37)^((T32-1)/T32)-273.15</f>
        <v>132.41946002405501</v>
      </c>
      <c r="U80" s="13">
        <f>(273.15+U35)*(U38/U37)^((U32-1)/U32)-273.15</f>
        <v>317.21480692061857</v>
      </c>
      <c r="W80" s="13">
        <f>(273.15+W35)*(W38/W37)^((W32-1)/W32)-273.15</f>
        <v>515.82339302236448</v>
      </c>
    </row>
    <row r="81" spans="4:23">
      <c r="D81" s="1" t="s">
        <v>76</v>
      </c>
      <c r="E81" s="1">
        <f>(0.03*E25+10)/0.589</f>
        <v>210.17792869269948</v>
      </c>
      <c r="O81" s="13">
        <f>O80-O35</f>
        <v>108.31801076851332</v>
      </c>
      <c r="P81" s="13">
        <f>P80-P35</f>
        <v>314.12391655083843</v>
      </c>
      <c r="T81" s="13">
        <f>T80-T35</f>
        <v>99.419460024055013</v>
      </c>
      <c r="U81" s="13">
        <f>U80-U35</f>
        <v>284.21480692061857</v>
      </c>
      <c r="W81" s="13">
        <f>W80-W35</f>
        <v>482.82339302236448</v>
      </c>
    </row>
    <row r="82" spans="4:23">
      <c r="D82" s="1" t="s">
        <v>77</v>
      </c>
      <c r="E82" s="1">
        <f>(E38/E37)^(1/E32)</f>
        <v>6.7484859132477863</v>
      </c>
      <c r="P82" s="24">
        <f>([1]!enthalpy(P4,"TP","SI with C",P49,P38/10)-[1]!enthalpy(P4,"TP","SI with C",P35,P37/10))*P30/1000</f>
        <v>123.75778910372466</v>
      </c>
      <c r="R82" s="52">
        <f>R24-R27</f>
        <v>599.85999999999967</v>
      </c>
      <c r="U82" s="24">
        <f>([1]!enthalpy(U4,"TP","SI with C",U49,U38/10)-[1]!enthalpy(U4,"TP","SI with C",U35,U37/10))*U30/1000</f>
        <v>76.377162887092368</v>
      </c>
    </row>
    <row r="85" spans="4:23">
      <c r="D85" s="7" t="s">
        <v>27</v>
      </c>
      <c r="E85" s="23"/>
      <c r="F85" s="23"/>
      <c r="H85" s="23"/>
      <c r="I85" s="23"/>
      <c r="K85" s="23"/>
      <c r="L85" s="23"/>
      <c r="N85" s="23"/>
      <c r="O85" s="23"/>
      <c r="P85" s="23"/>
      <c r="R85" s="23"/>
      <c r="S85" s="23"/>
      <c r="T85" s="23"/>
      <c r="U85" s="23"/>
      <c r="W85" s="23"/>
    </row>
    <row r="86" spans="4:23">
      <c r="D86" s="7" t="s">
        <v>28</v>
      </c>
      <c r="E86" s="24">
        <f>E30*E33*E65/1000</f>
        <v>962.793874915895</v>
      </c>
      <c r="F86" s="24">
        <f>F30*F33*F65/1000</f>
        <v>1080.1599457646696</v>
      </c>
      <c r="H86" s="24">
        <f>H30*H33*H65/1000</f>
        <v>207.92417600611063</v>
      </c>
      <c r="I86" s="24">
        <f>I30*I33*I65/1000</f>
        <v>651.17048454623546</v>
      </c>
      <c r="K86" s="24">
        <f>K30*K33*K65/1000</f>
        <v>292.21091816186595</v>
      </c>
      <c r="L86" s="24">
        <f>L30*L33*L65/1000</f>
        <v>917.82436889066582</v>
      </c>
      <c r="N86" s="24">
        <f>N30*N33*N65/1000</f>
        <v>955.24947854647621</v>
      </c>
      <c r="O86" s="24">
        <f>O30*O33*O81/1000</f>
        <v>256.84869953791139</v>
      </c>
      <c r="P86" s="24">
        <f>P30*P33*P81/1000</f>
        <v>1295.1791983068008</v>
      </c>
      <c r="R86" s="24">
        <f>R30*R33*R65/1000</f>
        <v>305.48029336904648</v>
      </c>
      <c r="S86" s="24">
        <f>S30*S33*S65/1000</f>
        <v>261.74374590266802</v>
      </c>
      <c r="T86" s="24">
        <f>T30*T33*T81/1000</f>
        <v>241.07136934584403</v>
      </c>
      <c r="U86" s="24">
        <f>U30*U33*U81/1000</f>
        <v>586.31617257532184</v>
      </c>
      <c r="W86" s="24">
        <f>W30*W33*W81/1000</f>
        <v>1361.8524153085075</v>
      </c>
    </row>
    <row r="87" spans="4:23">
      <c r="D87" s="7" t="s">
        <v>29</v>
      </c>
      <c r="E87" s="24">
        <f>E30*8.314/E31*E35*LN(E38/E37)/1000</f>
        <v>67.160503657337159</v>
      </c>
      <c r="F87" s="24">
        <f>F30*8.314/F31*F35*LN(F38/F37)/1000</f>
        <v>76.815675969529039</v>
      </c>
      <c r="H87" s="24">
        <f>H30*8.314/H31*H35*LN(H38/H37)/1000</f>
        <v>28.410388230537055</v>
      </c>
      <c r="I87" s="24">
        <f>I30*8.314/I31*I35*LN(I38/I37)/1000</f>
        <v>89.676573562933413</v>
      </c>
      <c r="K87" s="24">
        <f>K30*8.314/K31*K35*LN(K38/K37)/1000</f>
        <v>28.99917151320626</v>
      </c>
      <c r="L87" s="24">
        <f>L30*8.314/L31*L35*LN(L38/L37)/1000</f>
        <v>90.550326351294444</v>
      </c>
      <c r="N87" s="24">
        <f>N30*8.314/N31*N35*LN(N38/N37)/1000</f>
        <v>78.406113485054931</v>
      </c>
      <c r="O87" s="24">
        <f>O30*8.314/O31*O35*LN(O38/O37)/1000</f>
        <v>28.091043318950643</v>
      </c>
      <c r="P87" s="24">
        <f>P30*8.314/P31*P35*LN(P38/P37)/1000</f>
        <v>113.83723843578922</v>
      </c>
      <c r="R87" s="24">
        <f>R30*8.314/R31*R35*LN(R38/R37)/1000</f>
        <v>36.800371130470239</v>
      </c>
      <c r="S87" s="24">
        <f>S30*8.314/S31*S35*LN(S38/S37)/1000</f>
        <v>30.575976013447086</v>
      </c>
      <c r="T87" s="24">
        <f>T30*8.314/T31*T35*LN(T38/T37)/1000</f>
        <v>23.705042932339488</v>
      </c>
      <c r="U87" s="24">
        <f>U30*8.314/U31*U35*LN(U38/U37)/1000</f>
        <v>47.000352309009209</v>
      </c>
      <c r="W87" s="24">
        <f>W30*8.314/W31*W35*LN(W38/W37)/1000</f>
        <v>87.967027746539642</v>
      </c>
    </row>
    <row r="89" spans="4:23">
      <c r="D89" s="29" t="s">
        <v>47</v>
      </c>
      <c r="E89" s="29"/>
      <c r="F89" s="29"/>
      <c r="H89" s="29"/>
      <c r="I89" s="29"/>
      <c r="K89" s="29"/>
      <c r="L89" s="29"/>
      <c r="N89" s="29"/>
      <c r="O89" s="29"/>
      <c r="P89" s="29"/>
      <c r="R89" s="29"/>
      <c r="S89" s="29"/>
      <c r="T89" s="29"/>
      <c r="U89" s="29"/>
      <c r="W89" s="29"/>
    </row>
    <row r="90" spans="4:23">
      <c r="D90" s="29"/>
      <c r="E90" s="29"/>
      <c r="F90" s="29"/>
      <c r="H90" s="29"/>
      <c r="I90" s="29"/>
      <c r="K90" s="29"/>
      <c r="L90" s="29"/>
      <c r="N90" s="29"/>
      <c r="O90" s="29"/>
      <c r="P90" s="29"/>
      <c r="R90" s="29"/>
      <c r="S90" s="29"/>
      <c r="T90" s="29"/>
      <c r="U90" s="29"/>
      <c r="W90" s="29"/>
    </row>
    <row r="91" spans="4:23">
      <c r="O91" s="1">
        <v>1.1000000000000001</v>
      </c>
      <c r="P91" s="1">
        <v>1.1000000000000001</v>
      </c>
      <c r="Q91" s="1" t="s">
        <v>70</v>
      </c>
      <c r="T91" s="1">
        <v>1.1000000000000001</v>
      </c>
      <c r="U91" s="1">
        <v>1.1000000000000001</v>
      </c>
      <c r="W91" s="1">
        <v>1.1000000000000001</v>
      </c>
    </row>
    <row r="92" spans="4:23">
      <c r="G92" s="1" t="s">
        <v>91</v>
      </c>
      <c r="H92" s="68">
        <v>707.3</v>
      </c>
      <c r="K92" s="68">
        <v>707.3</v>
      </c>
      <c r="L92" s="68">
        <v>707.3</v>
      </c>
    </row>
    <row r="93" spans="4:23">
      <c r="G93" s="1" t="s">
        <v>96</v>
      </c>
      <c r="H93" s="68"/>
      <c r="K93" s="68"/>
      <c r="L93" s="68"/>
    </row>
    <row r="94" spans="4:23">
      <c r="G94" s="1" t="s">
        <v>89</v>
      </c>
      <c r="H94" s="68"/>
      <c r="K94" s="68"/>
      <c r="L94" s="68"/>
    </row>
    <row r="95" spans="4:23">
      <c r="G95" s="1" t="s">
        <v>92</v>
      </c>
      <c r="H95" s="68">
        <v>286.8</v>
      </c>
      <c r="K95" s="68">
        <v>286.8</v>
      </c>
      <c r="L95" s="68">
        <v>286.8</v>
      </c>
    </row>
    <row r="96" spans="4:23">
      <c r="G96" s="1" t="s">
        <v>93</v>
      </c>
      <c r="H96" s="68">
        <v>255.1</v>
      </c>
      <c r="K96" s="68">
        <v>255.1</v>
      </c>
      <c r="L96" s="68">
        <v>255.1</v>
      </c>
    </row>
    <row r="97" spans="3:23">
      <c r="G97" s="1" t="s">
        <v>94</v>
      </c>
      <c r="H97" s="68">
        <v>228.8</v>
      </c>
      <c r="I97" s="1">
        <v>282</v>
      </c>
      <c r="K97" s="68">
        <v>228.8</v>
      </c>
      <c r="L97" s="68">
        <v>228.8</v>
      </c>
    </row>
    <row r="98" spans="3:23">
      <c r="G98" s="1" t="s">
        <v>95</v>
      </c>
      <c r="H98" s="69">
        <f>SUBTOTAL(9,H92:H97)</f>
        <v>1477.9999999999998</v>
      </c>
      <c r="I98" s="69">
        <f>SUBTOTAL(9,I92:I97)</f>
        <v>282</v>
      </c>
      <c r="K98" s="69">
        <f>SUBTOTAL(9,K92:K97)</f>
        <v>1477.9999999999998</v>
      </c>
      <c r="L98" s="69">
        <f>SUBTOTAL(9,L92:L97)</f>
        <v>1477.9999999999998</v>
      </c>
    </row>
    <row r="99" spans="3:23">
      <c r="G99" s="1" t="s">
        <v>97</v>
      </c>
      <c r="H99" s="70">
        <f>H98*60/1000</f>
        <v>88.679999999999978</v>
      </c>
      <c r="I99" s="70">
        <f>I98*60/1000</f>
        <v>16.920000000000002</v>
      </c>
      <c r="K99" s="70">
        <f>K98*60/1000</f>
        <v>88.679999999999978</v>
      </c>
      <c r="L99" s="70">
        <f>L98*60/1000</f>
        <v>88.679999999999978</v>
      </c>
    </row>
    <row r="100" spans="3:23">
      <c r="G100" s="43"/>
      <c r="H100" s="70"/>
      <c r="K100" s="70">
        <f>(K97+K96)*60/1000</f>
        <v>29.033999999999999</v>
      </c>
      <c r="L100" s="70">
        <f>(L97+L96)*60/1000</f>
        <v>29.033999999999999</v>
      </c>
    </row>
    <row r="101" spans="3:23">
      <c r="G101" s="43" t="s">
        <v>104</v>
      </c>
      <c r="H101" s="75">
        <f>H29/H20</f>
        <v>2546.7590448251949</v>
      </c>
      <c r="I101" s="75">
        <f>I29/I20</f>
        <v>371.08752708167509</v>
      </c>
      <c r="K101" s="71">
        <f>[1]!density("air","TP","SI with C",K35,K37/10)</f>
        <v>1.635383995857749</v>
      </c>
    </row>
    <row r="102" spans="3:23">
      <c r="G102" s="1" t="s">
        <v>105</v>
      </c>
      <c r="H102" s="63">
        <f>H99/(H101+H99)</f>
        <v>3.3649042338553502E-2</v>
      </c>
      <c r="I102" s="63">
        <f>I99/(I101+I99)</f>
        <v>4.3607401452390802E-2</v>
      </c>
      <c r="K102" s="67"/>
    </row>
    <row r="104" spans="3:23">
      <c r="O104" s="1">
        <v>8</v>
      </c>
      <c r="P104" s="1">
        <v>9</v>
      </c>
      <c r="Q104" s="1" t="s">
        <v>71</v>
      </c>
      <c r="T104" s="1">
        <v>8</v>
      </c>
      <c r="U104" s="1">
        <v>9</v>
      </c>
      <c r="W104" s="1">
        <v>9</v>
      </c>
    </row>
    <row r="105" spans="3:23">
      <c r="O105" s="51">
        <f>(O91/(O91-1)*O27*O36*10^5*((O38/O37)^((O91-1)/O91)-1)-(O38-O104)*10 ^5*O27/((O38/O37)^(1/O91)))*O23/3600/1000</f>
        <v>1653030.0121156613</v>
      </c>
      <c r="P105" s="51">
        <f>(P91/(P91-1)*P27*P37*10^5*((P38/P37)^((P91-1)/P91)-1)-(P38-P104)*10 ^5*P27/((P38/P37)^(1/P91)))*P23/3600/1000</f>
        <v>1905015.6088510656</v>
      </c>
      <c r="Q105" s="1" t="s">
        <v>72</v>
      </c>
      <c r="T105" s="51">
        <f>(T91/(T91-1)*T27*T36*10^5*((T38/T37)^((T91-1)/T91)-1)-(T38-T104)*10 ^5*T27/((T38/T37)^(1/T91)))*T23/3600/1000</f>
        <v>1653030.0121156613</v>
      </c>
      <c r="U105" s="51">
        <f>(U91/(U91-1)*U27*U37*10^5*((U38/U37)^((U91-1)/U91)-1)-(U38-U104)*10 ^5*U27/((U38/U37)^(1/U91)))*U23/3600/1000</f>
        <v>932055.1828581132</v>
      </c>
      <c r="W105" s="51">
        <f>(W91/(W91-1)*W27*W36*10^5*((W38/W37)^((W91-1)/W91)-1)-(W38-W104)*10 ^5*W27/((W38/W37)^(1/W91)))*W23/3600/1000</f>
        <v>2091279.5668088817</v>
      </c>
    </row>
    <row r="106" spans="3:23">
      <c r="C106" s="2" t="s">
        <v>30</v>
      </c>
    </row>
    <row r="107" spans="3:23">
      <c r="C107" s="25" t="s">
        <v>31</v>
      </c>
    </row>
    <row r="108" spans="3:23">
      <c r="C108" s="2"/>
    </row>
    <row r="109" spans="3:23">
      <c r="C109" s="2" t="s">
        <v>32</v>
      </c>
    </row>
    <row r="110" spans="3:23">
      <c r="C110" s="2" t="s">
        <v>33</v>
      </c>
    </row>
    <row r="112" spans="3:23">
      <c r="C112" s="2" t="s">
        <v>34</v>
      </c>
    </row>
    <row r="113" spans="3:7">
      <c r="C113" s="2" t="s">
        <v>35</v>
      </c>
    </row>
    <row r="115" spans="3:7">
      <c r="C115" s="2" t="s">
        <v>36</v>
      </c>
    </row>
    <row r="116" spans="3:7">
      <c r="C116" s="2" t="s">
        <v>37</v>
      </c>
    </row>
    <row r="117" spans="3:7">
      <c r="C117" s="2" t="s">
        <v>38</v>
      </c>
    </row>
    <row r="118" spans="3:7">
      <c r="C118" s="26" t="s">
        <v>39</v>
      </c>
    </row>
    <row r="119" spans="3:7">
      <c r="C119" s="26" t="s">
        <v>40</v>
      </c>
    </row>
    <row r="120" spans="3:7">
      <c r="C120" s="26" t="s">
        <v>41</v>
      </c>
    </row>
    <row r="124" spans="3:7">
      <c r="C124" s="2" t="s">
        <v>42</v>
      </c>
    </row>
    <row r="125" spans="3:7">
      <c r="C125" s="2" t="s">
        <v>43</v>
      </c>
    </row>
    <row r="126" spans="3:7">
      <c r="C126" s="25" t="s">
        <v>44</v>
      </c>
      <c r="G126" s="1">
        <f>71.7*1.1</f>
        <v>78.87</v>
      </c>
    </row>
    <row r="128" spans="3:7">
      <c r="C128" s="2" t="s">
        <v>45</v>
      </c>
    </row>
    <row r="129" spans="3:14">
      <c r="C129" s="2" t="s">
        <v>46</v>
      </c>
    </row>
    <row r="131" spans="3:14">
      <c r="H131" s="62" t="s">
        <v>86</v>
      </c>
      <c r="I131" s="62" t="s">
        <v>87</v>
      </c>
      <c r="J131" s="62"/>
      <c r="K131" s="62" t="s">
        <v>86</v>
      </c>
      <c r="L131" s="62" t="s">
        <v>87</v>
      </c>
      <c r="M131" s="62"/>
    </row>
    <row r="132" spans="3:14">
      <c r="F132" s="1" t="s">
        <v>83</v>
      </c>
      <c r="H132" s="1">
        <v>1950</v>
      </c>
      <c r="I132" s="1">
        <v>2070</v>
      </c>
      <c r="K132" s="1">
        <v>1950</v>
      </c>
      <c r="L132" s="1">
        <v>2070</v>
      </c>
    </row>
    <row r="133" spans="3:14">
      <c r="F133" s="1" t="s">
        <v>84</v>
      </c>
      <c r="H133" s="1">
        <v>983</v>
      </c>
      <c r="I133" s="1">
        <v>846</v>
      </c>
      <c r="K133" s="1">
        <v>983</v>
      </c>
      <c r="L133" s="1">
        <v>846</v>
      </c>
    </row>
    <row r="134" spans="3:14">
      <c r="F134" s="1" t="s">
        <v>85</v>
      </c>
      <c r="H134" s="1">
        <f>H132*H133</f>
        <v>1916850</v>
      </c>
      <c r="I134" s="1">
        <f>I132*I133</f>
        <v>1751220</v>
      </c>
      <c r="K134" s="1">
        <f>K132*K133</f>
        <v>1916850</v>
      </c>
      <c r="L134" s="1">
        <f>L132*L133</f>
        <v>1751220</v>
      </c>
      <c r="N134" s="63">
        <f>H134/I134-1</f>
        <v>9.4579778668585357E-2</v>
      </c>
    </row>
    <row r="155" spans="4:6">
      <c r="D155"/>
      <c r="E155"/>
      <c r="F155"/>
    </row>
    <row r="156" spans="4:6">
      <c r="D156"/>
      <c r="E156"/>
      <c r="F156"/>
    </row>
    <row r="157" spans="4:6" ht="15">
      <c r="D157" s="65"/>
      <c r="E157" s="65"/>
      <c r="F157"/>
    </row>
    <row r="169" spans="9:10">
      <c r="I169" s="20">
        <f>[1]!density("air","TP","SI with C",0,1/10)</f>
        <v>1.2758162153163073</v>
      </c>
      <c r="J169" s="31" t="s">
        <v>54</v>
      </c>
    </row>
    <row r="171" spans="9:10">
      <c r="I171" s="32" t="s">
        <v>48</v>
      </c>
      <c r="J171" s="32" t="s">
        <v>49</v>
      </c>
    </row>
    <row r="172" spans="9:10">
      <c r="I172" s="33" t="s">
        <v>54</v>
      </c>
      <c r="J172" s="36">
        <v>0.49589</v>
      </c>
    </row>
    <row r="173" spans="9:10">
      <c r="I173" s="33" t="s">
        <v>50</v>
      </c>
      <c r="J173" s="36">
        <v>0.47594999999999998</v>
      </c>
    </row>
    <row r="174" spans="9:10">
      <c r="I174" s="33" t="s">
        <v>55</v>
      </c>
      <c r="J174" s="36">
        <v>1.9349999999999999E-2</v>
      </c>
    </row>
    <row r="175" spans="9:10">
      <c r="I175" s="33" t="s">
        <v>51</v>
      </c>
      <c r="J175" s="36">
        <v>2.9E-4</v>
      </c>
    </row>
    <row r="176" spans="9:10">
      <c r="I176" s="33" t="s">
        <v>56</v>
      </c>
      <c r="J176" s="36">
        <v>8.26E-3</v>
      </c>
    </row>
    <row r="177" spans="9:10">
      <c r="I177" s="33" t="s">
        <v>82</v>
      </c>
      <c r="J177" s="36"/>
    </row>
    <row r="178" spans="9:10">
      <c r="I178" s="33" t="s">
        <v>57</v>
      </c>
      <c r="J178" s="36">
        <v>3.0000000000000001E-5</v>
      </c>
    </row>
    <row r="179" spans="9:10">
      <c r="I179" s="33" t="s">
        <v>52</v>
      </c>
      <c r="J179" s="36">
        <v>2.2999999999995246E-4</v>
      </c>
    </row>
    <row r="180" spans="9:10">
      <c r="I180" s="34" t="s">
        <v>53</v>
      </c>
      <c r="J180" s="35">
        <f>SUM(J172:J179)</f>
        <v>1</v>
      </c>
    </row>
    <row r="183" spans="9:10">
      <c r="J183" s="1">
        <f>40</f>
        <v>40</v>
      </c>
    </row>
    <row r="184" spans="9:10">
      <c r="J184" s="1">
        <v>25.35</v>
      </c>
    </row>
    <row r="185" spans="9:10">
      <c r="J185" s="1">
        <f>[1]!density(J169,"TP","SI with C",J183,J184/10)</f>
        <v>3.8529525131803894</v>
      </c>
    </row>
    <row r="186" spans="9:10">
      <c r="J186" s="1" t="e">
        <f ca="1">thermal(J170,"TP","SI with C",J184,J185/10)</f>
        <v>#NAME?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C6:S41"/>
  <sheetViews>
    <sheetView zoomScale="85" zoomScaleNormal="85" workbookViewId="0">
      <selection activeCell="E27" sqref="E27"/>
    </sheetView>
  </sheetViews>
  <sheetFormatPr defaultRowHeight="12.75"/>
  <cols>
    <col min="1" max="3" width="9.140625" style="1"/>
    <col min="4" max="4" width="12.85546875" style="1" bestFit="1" customWidth="1"/>
    <col min="5" max="16384" width="9.140625" style="1"/>
  </cols>
  <sheetData>
    <row r="6" spans="4:5">
      <c r="D6" s="1" t="s">
        <v>90</v>
      </c>
      <c r="E6" s="1">
        <v>652</v>
      </c>
    </row>
    <row r="20" spans="3:19">
      <c r="C20" s="1" t="s">
        <v>99</v>
      </c>
      <c r="D20" s="1" t="s">
        <v>100</v>
      </c>
      <c r="E20" s="72">
        <v>1162.8</v>
      </c>
      <c r="F20" s="72">
        <v>1053.5</v>
      </c>
      <c r="G20" s="72">
        <v>1164.8</v>
      </c>
      <c r="H20" s="72">
        <v>1165.8</v>
      </c>
      <c r="I20" s="72">
        <v>1166.8</v>
      </c>
      <c r="J20" s="72">
        <v>1167.8</v>
      </c>
      <c r="K20" s="72">
        <v>1168.8</v>
      </c>
      <c r="L20" s="72">
        <v>1169.8</v>
      </c>
      <c r="M20" s="72">
        <v>1170.8</v>
      </c>
      <c r="N20" s="72">
        <v>1171.8</v>
      </c>
      <c r="O20" s="72">
        <v>1172.8</v>
      </c>
      <c r="P20" s="72">
        <v>1173.8</v>
      </c>
      <c r="Q20" s="72">
        <v>1174.8</v>
      </c>
      <c r="R20" s="72">
        <v>1175.8</v>
      </c>
      <c r="S20" s="72">
        <v>1176.8</v>
      </c>
    </row>
    <row r="21" spans="3:19">
      <c r="D21" s="1" t="s">
        <v>103</v>
      </c>
      <c r="E21" s="1">
        <f>E20*3.6</f>
        <v>4186.08</v>
      </c>
      <c r="F21" s="1">
        <f t="shared" ref="F21:S21" si="0">F20*3.6</f>
        <v>3792.6</v>
      </c>
      <c r="G21" s="1">
        <f t="shared" si="0"/>
        <v>4193.28</v>
      </c>
      <c r="H21" s="1">
        <f t="shared" si="0"/>
        <v>4196.88</v>
      </c>
      <c r="I21" s="1">
        <f t="shared" si="0"/>
        <v>4200.4799999999996</v>
      </c>
      <c r="J21" s="1">
        <f t="shared" si="0"/>
        <v>4204.08</v>
      </c>
      <c r="K21" s="1">
        <f t="shared" si="0"/>
        <v>4207.68</v>
      </c>
      <c r="L21" s="1">
        <f t="shared" si="0"/>
        <v>4211.28</v>
      </c>
      <c r="M21" s="1">
        <f t="shared" si="0"/>
        <v>4214.88</v>
      </c>
      <c r="N21" s="1">
        <f t="shared" si="0"/>
        <v>4218.4799999999996</v>
      </c>
      <c r="O21" s="1">
        <f t="shared" si="0"/>
        <v>4222.08</v>
      </c>
      <c r="P21" s="1">
        <f t="shared" si="0"/>
        <v>4225.68</v>
      </c>
      <c r="Q21" s="1">
        <f t="shared" si="0"/>
        <v>4229.28</v>
      </c>
      <c r="R21" s="1">
        <f t="shared" si="0"/>
        <v>4232.88</v>
      </c>
      <c r="S21" s="1">
        <f t="shared" si="0"/>
        <v>4236.4799999999996</v>
      </c>
    </row>
    <row r="23" spans="3:19">
      <c r="C23" s="66" t="s">
        <v>98</v>
      </c>
      <c r="D23" s="1" t="s">
        <v>101</v>
      </c>
      <c r="E23" s="72">
        <v>1154.5</v>
      </c>
      <c r="F23" s="72">
        <v>1155.5</v>
      </c>
      <c r="G23" s="72">
        <v>1156.5</v>
      </c>
      <c r="H23" s="72">
        <v>1157.5</v>
      </c>
      <c r="I23" s="72">
        <v>1158.5</v>
      </c>
      <c r="J23" s="72">
        <v>1159.5</v>
      </c>
      <c r="K23" s="72">
        <v>1160.5</v>
      </c>
      <c r="L23" s="72">
        <v>1161.5</v>
      </c>
      <c r="M23" s="72">
        <v>1162.5</v>
      </c>
      <c r="N23" s="72">
        <v>1163.5</v>
      </c>
      <c r="O23" s="72">
        <v>1164.5</v>
      </c>
      <c r="P23" s="72">
        <v>1165.5</v>
      </c>
      <c r="Q23" s="72">
        <v>1166.5</v>
      </c>
      <c r="R23" s="72">
        <v>1167.5</v>
      </c>
      <c r="S23" s="72">
        <v>1168.5</v>
      </c>
    </row>
    <row r="24" spans="3:19">
      <c r="D24" s="1" t="s">
        <v>102</v>
      </c>
      <c r="E24" s="1">
        <f>E23*60/1000</f>
        <v>69.27</v>
      </c>
      <c r="F24" s="1">
        <f t="shared" ref="F24:S24" si="1">F23*60/1000</f>
        <v>69.33</v>
      </c>
      <c r="G24" s="1">
        <f t="shared" si="1"/>
        <v>69.39</v>
      </c>
      <c r="H24" s="1">
        <f t="shared" si="1"/>
        <v>69.45</v>
      </c>
      <c r="I24" s="1">
        <f t="shared" si="1"/>
        <v>69.510000000000005</v>
      </c>
      <c r="J24" s="1">
        <f t="shared" si="1"/>
        <v>69.569999999999993</v>
      </c>
      <c r="K24" s="1">
        <f t="shared" si="1"/>
        <v>69.63</v>
      </c>
      <c r="L24" s="1">
        <f t="shared" si="1"/>
        <v>69.69</v>
      </c>
      <c r="M24" s="1">
        <f t="shared" si="1"/>
        <v>69.75</v>
      </c>
      <c r="N24" s="1">
        <f t="shared" si="1"/>
        <v>69.81</v>
      </c>
      <c r="O24" s="1">
        <f t="shared" si="1"/>
        <v>69.87</v>
      </c>
      <c r="P24" s="1">
        <f t="shared" si="1"/>
        <v>69.930000000000007</v>
      </c>
      <c r="Q24" s="1">
        <f t="shared" si="1"/>
        <v>69.989999999999995</v>
      </c>
      <c r="R24" s="1">
        <f t="shared" si="1"/>
        <v>70.05</v>
      </c>
      <c r="S24" s="1">
        <f t="shared" si="1"/>
        <v>70.11</v>
      </c>
    </row>
    <row r="25" spans="3:19">
      <c r="C25" s="1" t="s">
        <v>88</v>
      </c>
      <c r="D25" s="1" t="s">
        <v>62</v>
      </c>
      <c r="E25" s="1">
        <v>835.4</v>
      </c>
      <c r="F25" s="1">
        <v>836.4</v>
      </c>
      <c r="G25" s="1">
        <v>837.4</v>
      </c>
      <c r="H25" s="1">
        <v>838.4</v>
      </c>
      <c r="I25" s="1">
        <v>839.4</v>
      </c>
      <c r="J25" s="1">
        <v>840.4</v>
      </c>
      <c r="K25" s="1">
        <v>841.4</v>
      </c>
      <c r="L25" s="1">
        <v>842.4</v>
      </c>
      <c r="M25" s="1">
        <v>843.4</v>
      </c>
      <c r="N25" s="1">
        <v>844.4</v>
      </c>
      <c r="O25" s="1">
        <v>845.4</v>
      </c>
      <c r="P25" s="1">
        <v>846.4</v>
      </c>
      <c r="Q25" s="1">
        <v>847.4</v>
      </c>
      <c r="R25" s="1">
        <v>848.4</v>
      </c>
      <c r="S25" s="1">
        <v>849.4</v>
      </c>
    </row>
    <row r="26" spans="3:19">
      <c r="D26" s="1" t="s">
        <v>103</v>
      </c>
      <c r="E26" s="1">
        <f>E24*E25</f>
        <v>57868.157999999996</v>
      </c>
      <c r="F26" s="1">
        <f t="shared" ref="F26:S26" si="2">F24*F25</f>
        <v>57987.611999999994</v>
      </c>
      <c r="G26" s="1">
        <f t="shared" si="2"/>
        <v>58107.186000000002</v>
      </c>
      <c r="H26" s="1">
        <f t="shared" si="2"/>
        <v>58226.879999999997</v>
      </c>
      <c r="I26" s="1">
        <f t="shared" si="2"/>
        <v>58346.694000000003</v>
      </c>
      <c r="J26" s="1">
        <f t="shared" si="2"/>
        <v>58466.62799999999</v>
      </c>
      <c r="K26" s="1">
        <f t="shared" si="2"/>
        <v>58586.681999999993</v>
      </c>
      <c r="L26" s="1">
        <f t="shared" si="2"/>
        <v>58706.856</v>
      </c>
      <c r="M26" s="1">
        <f t="shared" si="2"/>
        <v>58827.15</v>
      </c>
      <c r="N26" s="1">
        <f t="shared" si="2"/>
        <v>58947.563999999998</v>
      </c>
      <c r="O26" s="1">
        <f t="shared" si="2"/>
        <v>59068.098000000005</v>
      </c>
      <c r="P26" s="1">
        <f t="shared" si="2"/>
        <v>59188.752000000008</v>
      </c>
      <c r="Q26" s="1">
        <f t="shared" si="2"/>
        <v>59309.525999999991</v>
      </c>
      <c r="R26" s="1">
        <f t="shared" si="2"/>
        <v>59430.42</v>
      </c>
      <c r="S26" s="1">
        <f t="shared" si="2"/>
        <v>59551.434000000001</v>
      </c>
    </row>
    <row r="27" spans="3:19">
      <c r="E27" s="63">
        <f>E21/(E26+E21)</f>
        <v>6.745840630578688E-2</v>
      </c>
      <c r="F27" s="63">
        <f t="shared" ref="F27:S27" si="3">F21/(F26+F21)</f>
        <v>6.1388588307207496E-2</v>
      </c>
      <c r="G27" s="63">
        <f t="shared" si="3"/>
        <v>6.73073617137952E-2</v>
      </c>
      <c r="H27" s="63">
        <f t="shared" si="3"/>
        <v>6.7232092395587847E-2</v>
      </c>
      <c r="I27" s="63">
        <f t="shared" si="3"/>
        <v>6.7156990977721862E-2</v>
      </c>
      <c r="J27" s="63">
        <f t="shared" si="3"/>
        <v>6.708205689969228E-2</v>
      </c>
      <c r="K27" s="63">
        <f t="shared" si="3"/>
        <v>6.7007289603483844E-2</v>
      </c>
      <c r="L27" s="63">
        <f t="shared" si="3"/>
        <v>6.6932688533557314E-2</v>
      </c>
      <c r="M27" s="63">
        <f t="shared" si="3"/>
        <v>6.6858253136835855E-2</v>
      </c>
      <c r="N27" s="63">
        <f t="shared" si="3"/>
        <v>6.678398286269123E-2</v>
      </c>
      <c r="O27" s="63">
        <f t="shared" si="3"/>
        <v>6.6709877162930392E-2</v>
      </c>
      <c r="P27" s="63">
        <f t="shared" si="3"/>
        <v>6.6635935491782053E-2</v>
      </c>
      <c r="Q27" s="63">
        <f t="shared" si="3"/>
        <v>6.6562157305883288E-2</v>
      </c>
      <c r="R27" s="63">
        <f t="shared" si="3"/>
        <v>6.6488542064266229E-2</v>
      </c>
      <c r="S27" s="63">
        <f t="shared" si="3"/>
        <v>6.6415089228345034E-2</v>
      </c>
    </row>
    <row r="32" spans="3:19">
      <c r="C32" s="1" t="s">
        <v>99</v>
      </c>
      <c r="D32" s="1" t="s">
        <v>100</v>
      </c>
      <c r="E32" s="72">
        <v>1162.8</v>
      </c>
      <c r="F32" s="72">
        <v>1053.5</v>
      </c>
      <c r="G32" s="72">
        <v>1164.8</v>
      </c>
      <c r="H32" s="72">
        <v>1165.8</v>
      </c>
      <c r="I32" s="72">
        <v>1166.8</v>
      </c>
      <c r="J32" s="72">
        <v>1167.8</v>
      </c>
      <c r="K32" s="72">
        <v>1168.8</v>
      </c>
      <c r="L32" s="72">
        <v>1169.8</v>
      </c>
      <c r="M32" s="72">
        <v>1170.8</v>
      </c>
      <c r="N32" s="72">
        <v>1171.8</v>
      </c>
      <c r="O32" s="72">
        <v>1172.8</v>
      </c>
      <c r="P32" s="72">
        <v>1173.8</v>
      </c>
      <c r="Q32" s="72">
        <v>1174.8</v>
      </c>
      <c r="R32" s="72">
        <v>1175.8</v>
      </c>
      <c r="S32" s="72">
        <v>1176.8</v>
      </c>
    </row>
    <row r="33" spans="3:19">
      <c r="D33" s="1" t="s">
        <v>103</v>
      </c>
      <c r="E33" s="1">
        <f>E32*3.6</f>
        <v>4186.08</v>
      </c>
      <c r="F33" s="1">
        <f t="shared" ref="F33" si="4">F32*3.6</f>
        <v>3792.6</v>
      </c>
      <c r="G33" s="1">
        <f t="shared" ref="G33" si="5">G32*3.6</f>
        <v>4193.28</v>
      </c>
      <c r="H33" s="1">
        <f t="shared" ref="H33" si="6">H32*3.6</f>
        <v>4196.88</v>
      </c>
      <c r="I33" s="1">
        <f t="shared" ref="I33" si="7">I32*3.6</f>
        <v>4200.4799999999996</v>
      </c>
      <c r="J33" s="1">
        <f t="shared" ref="J33" si="8">J32*3.6</f>
        <v>4204.08</v>
      </c>
      <c r="K33" s="1">
        <f t="shared" ref="K33" si="9">K32*3.6</f>
        <v>4207.68</v>
      </c>
      <c r="L33" s="1">
        <f t="shared" ref="L33" si="10">L32*3.6</f>
        <v>4211.28</v>
      </c>
      <c r="M33" s="1">
        <f t="shared" ref="M33" si="11">M32*3.6</f>
        <v>4214.88</v>
      </c>
      <c r="N33" s="1">
        <f t="shared" ref="N33" si="12">N32*3.6</f>
        <v>4218.4799999999996</v>
      </c>
      <c r="O33" s="1">
        <f t="shared" ref="O33" si="13">O32*3.6</f>
        <v>4222.08</v>
      </c>
      <c r="P33" s="1">
        <f t="shared" ref="P33" si="14">P32*3.6</f>
        <v>4225.68</v>
      </c>
      <c r="Q33" s="1">
        <f t="shared" ref="Q33" si="15">Q32*3.6</f>
        <v>4229.28</v>
      </c>
      <c r="R33" s="1">
        <f t="shared" ref="R33" si="16">R32*3.6</f>
        <v>4232.88</v>
      </c>
      <c r="S33" s="1">
        <f t="shared" ref="S33" si="17">S32*3.6</f>
        <v>4236.4799999999996</v>
      </c>
    </row>
    <row r="35" spans="3:19">
      <c r="C35" s="66" t="s">
        <v>98</v>
      </c>
      <c r="D35" s="1" t="s">
        <v>101</v>
      </c>
      <c r="E35" s="72">
        <v>1801.0342002540719</v>
      </c>
      <c r="F35" s="72">
        <v>1155.5</v>
      </c>
      <c r="G35" s="72">
        <v>1156.5</v>
      </c>
      <c r="H35" s="72">
        <v>1157.5</v>
      </c>
      <c r="I35" s="72">
        <v>1158.5</v>
      </c>
      <c r="J35" s="72">
        <v>1159.5</v>
      </c>
      <c r="K35" s="72">
        <v>1160.5</v>
      </c>
      <c r="L35" s="72">
        <v>1161.5</v>
      </c>
      <c r="M35" s="72">
        <v>1162.5</v>
      </c>
      <c r="N35" s="72">
        <v>1163.5</v>
      </c>
      <c r="O35" s="72">
        <v>1164.5</v>
      </c>
      <c r="P35" s="72">
        <v>1165.5</v>
      </c>
      <c r="Q35" s="72">
        <v>1166.5</v>
      </c>
      <c r="R35" s="72">
        <v>1167.5</v>
      </c>
      <c r="S35" s="72">
        <v>1168.5</v>
      </c>
    </row>
    <row r="36" spans="3:19">
      <c r="D36" s="1" t="s">
        <v>102</v>
      </c>
      <c r="E36" s="1">
        <f>E35*60/1000</f>
        <v>108.06205201524432</v>
      </c>
      <c r="F36" s="1">
        <f t="shared" ref="F36" si="18">F35*60/1000</f>
        <v>69.33</v>
      </c>
      <c r="G36" s="1">
        <f t="shared" ref="G36" si="19">G35*60/1000</f>
        <v>69.39</v>
      </c>
      <c r="H36" s="1">
        <f t="shared" ref="H36" si="20">H35*60/1000</f>
        <v>69.45</v>
      </c>
      <c r="I36" s="1">
        <f t="shared" ref="I36" si="21">I35*60/1000</f>
        <v>69.510000000000005</v>
      </c>
      <c r="J36" s="1">
        <f t="shared" ref="J36" si="22">J35*60/1000</f>
        <v>69.569999999999993</v>
      </c>
      <c r="K36" s="1">
        <f t="shared" ref="K36" si="23">K35*60/1000</f>
        <v>69.63</v>
      </c>
      <c r="L36" s="1">
        <f t="shared" ref="L36" si="24">L35*60/1000</f>
        <v>69.69</v>
      </c>
      <c r="M36" s="1">
        <f t="shared" ref="M36" si="25">M35*60/1000</f>
        <v>69.75</v>
      </c>
      <c r="N36" s="1">
        <f t="shared" ref="N36" si="26">N35*60/1000</f>
        <v>69.81</v>
      </c>
      <c r="O36" s="1">
        <f t="shared" ref="O36" si="27">O35*60/1000</f>
        <v>69.87</v>
      </c>
      <c r="P36" s="1">
        <f t="shared" ref="P36" si="28">P35*60/1000</f>
        <v>69.930000000000007</v>
      </c>
      <c r="Q36" s="1">
        <f t="shared" ref="Q36" si="29">Q35*60/1000</f>
        <v>69.989999999999995</v>
      </c>
      <c r="R36" s="1">
        <f t="shared" ref="R36" si="30">R35*60/1000</f>
        <v>70.05</v>
      </c>
      <c r="S36" s="1">
        <f t="shared" ref="S36" si="31">S35*60/1000</f>
        <v>70.11</v>
      </c>
    </row>
    <row r="37" spans="3:19">
      <c r="C37" s="1" t="s">
        <v>88</v>
      </c>
      <c r="D37" s="1" t="s">
        <v>62</v>
      </c>
      <c r="E37" s="1">
        <v>835.4</v>
      </c>
      <c r="F37" s="1">
        <v>836.4</v>
      </c>
      <c r="G37" s="1">
        <v>837.4</v>
      </c>
      <c r="H37" s="1">
        <v>838.4</v>
      </c>
      <c r="I37" s="1">
        <v>839.4</v>
      </c>
      <c r="J37" s="1">
        <v>840.4</v>
      </c>
      <c r="K37" s="1">
        <v>841.4</v>
      </c>
      <c r="L37" s="1">
        <v>842.4</v>
      </c>
      <c r="M37" s="1">
        <v>843.4</v>
      </c>
      <c r="N37" s="1">
        <v>844.4</v>
      </c>
      <c r="O37" s="1">
        <v>845.4</v>
      </c>
      <c r="P37" s="1">
        <v>846.4</v>
      </c>
      <c r="Q37" s="1">
        <v>847.4</v>
      </c>
      <c r="R37" s="1">
        <v>848.4</v>
      </c>
      <c r="S37" s="1">
        <v>849.4</v>
      </c>
    </row>
    <row r="38" spans="3:19">
      <c r="D38" s="1" t="s">
        <v>103</v>
      </c>
      <c r="E38" s="1">
        <f>E36*E37</f>
        <v>90275.038253535095</v>
      </c>
      <c r="F38" s="1">
        <f t="shared" ref="F38" si="32">F36*F37</f>
        <v>57987.611999999994</v>
      </c>
      <c r="G38" s="1">
        <f t="shared" ref="G38" si="33">G36*G37</f>
        <v>58107.186000000002</v>
      </c>
      <c r="H38" s="1">
        <f t="shared" ref="H38" si="34">H36*H37</f>
        <v>58226.879999999997</v>
      </c>
      <c r="I38" s="1">
        <f t="shared" ref="I38" si="35">I36*I37</f>
        <v>58346.694000000003</v>
      </c>
      <c r="J38" s="1">
        <f t="shared" ref="J38" si="36">J36*J37</f>
        <v>58466.62799999999</v>
      </c>
      <c r="K38" s="1">
        <f t="shared" ref="K38" si="37">K36*K37</f>
        <v>58586.681999999993</v>
      </c>
      <c r="L38" s="1">
        <f t="shared" ref="L38" si="38">L36*L37</f>
        <v>58706.856</v>
      </c>
      <c r="M38" s="1">
        <f t="shared" ref="M38" si="39">M36*M37</f>
        <v>58827.15</v>
      </c>
      <c r="N38" s="1">
        <f t="shared" ref="N38" si="40">N36*N37</f>
        <v>58947.563999999998</v>
      </c>
      <c r="O38" s="1">
        <f t="shared" ref="O38" si="41">O36*O37</f>
        <v>59068.098000000005</v>
      </c>
      <c r="P38" s="1">
        <f t="shared" ref="P38" si="42">P36*P37</f>
        <v>59188.752000000008</v>
      </c>
      <c r="Q38" s="1">
        <f t="shared" ref="Q38" si="43">Q36*Q37</f>
        <v>59309.525999999991</v>
      </c>
      <c r="R38" s="1">
        <f t="shared" ref="R38" si="44">R36*R37</f>
        <v>59430.42</v>
      </c>
      <c r="S38" s="1">
        <f t="shared" ref="S38" si="45">S36*S37</f>
        <v>59551.434000000001</v>
      </c>
    </row>
    <row r="39" spans="3:19">
      <c r="E39" s="63">
        <f>E33/(E38+E33)</f>
        <v>4.4315376288098736E-2</v>
      </c>
      <c r="F39" s="63">
        <f t="shared" ref="F39" si="46">F33/(F38+F33)</f>
        <v>6.1388588307207496E-2</v>
      </c>
      <c r="G39" s="63">
        <f t="shared" ref="G39" si="47">G33/(G38+G33)</f>
        <v>6.73073617137952E-2</v>
      </c>
      <c r="H39" s="63">
        <f t="shared" ref="H39" si="48">H33/(H38+H33)</f>
        <v>6.7232092395587847E-2</v>
      </c>
      <c r="I39" s="63">
        <f t="shared" ref="I39" si="49">I33/(I38+I33)</f>
        <v>6.7156990977721862E-2</v>
      </c>
      <c r="J39" s="63">
        <f t="shared" ref="J39" si="50">J33/(J38+J33)</f>
        <v>6.708205689969228E-2</v>
      </c>
      <c r="K39" s="63">
        <f t="shared" ref="K39" si="51">K33/(K38+K33)</f>
        <v>6.7007289603483844E-2</v>
      </c>
      <c r="L39" s="63">
        <f t="shared" ref="L39" si="52">L33/(L38+L33)</f>
        <v>6.6932688533557314E-2</v>
      </c>
      <c r="M39" s="63">
        <f t="shared" ref="M39" si="53">M33/(M38+M33)</f>
        <v>6.6858253136835855E-2</v>
      </c>
      <c r="N39" s="63">
        <f t="shared" ref="N39" si="54">N33/(N38+N33)</f>
        <v>6.678398286269123E-2</v>
      </c>
      <c r="O39" s="63">
        <f t="shared" ref="O39" si="55">O33/(O38+O33)</f>
        <v>6.6709877162930392E-2</v>
      </c>
      <c r="P39" s="63">
        <f t="shared" ref="P39" si="56">P33/(P38+P33)</f>
        <v>6.6635935491782053E-2</v>
      </c>
      <c r="Q39" s="63">
        <f t="shared" ref="Q39" si="57">Q33/(Q38+Q33)</f>
        <v>6.6562157305883288E-2</v>
      </c>
      <c r="R39" s="63">
        <f t="shared" ref="R39" si="58">R33/(R38+R33)</f>
        <v>6.6488542064266229E-2</v>
      </c>
      <c r="S39" s="63">
        <f t="shared" ref="S39" si="59">S33/(S38+S33)</f>
        <v>6.6415089228345034E-2</v>
      </c>
    </row>
    <row r="41" spans="3:19">
      <c r="E41" s="1">
        <f>E36/E39</f>
        <v>2438.4775909996115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B1:D156"/>
  <sheetViews>
    <sheetView topLeftCell="A2" workbookViewId="0">
      <selection activeCell="D98" sqref="D98"/>
    </sheetView>
  </sheetViews>
  <sheetFormatPr defaultRowHeight="12.75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16384" width="9.140625" style="1"/>
  </cols>
  <sheetData>
    <row r="1" spans="2:4">
      <c r="D1" s="48" t="s">
        <v>61</v>
      </c>
    </row>
    <row r="2" spans="2:4">
      <c r="B2" s="43" t="s">
        <v>66</v>
      </c>
      <c r="C2" s="20">
        <f>[1]!MolarMass("air")</f>
        <v>28.958600656000002</v>
      </c>
    </row>
    <row r="3" spans="2:4">
      <c r="B3" s="43"/>
      <c r="C3" s="20"/>
    </row>
    <row r="4" spans="2:4">
      <c r="B4" s="43" t="s">
        <v>64</v>
      </c>
      <c r="C4" s="20">
        <f>[1]!density("air","TP","SI with C",0,1/10)</f>
        <v>1.2758162153163073</v>
      </c>
      <c r="D4" s="31" t="s">
        <v>54</v>
      </c>
    </row>
    <row r="6" spans="2:4">
      <c r="C6" s="32" t="s">
        <v>48</v>
      </c>
      <c r="D6" s="32" t="s">
        <v>49</v>
      </c>
    </row>
    <row r="7" spans="2:4">
      <c r="B7" s="1">
        <f>[1]!MolarMass(C7)</f>
        <v>4.0026020000000004</v>
      </c>
      <c r="C7" s="33" t="s">
        <v>54</v>
      </c>
      <c r="D7" s="41"/>
    </row>
    <row r="8" spans="2:4">
      <c r="B8" s="1">
        <f>[1]!MolarMass(C8)</f>
        <v>28.013480000000001</v>
      </c>
      <c r="C8" s="33" t="s">
        <v>50</v>
      </c>
      <c r="D8" s="41"/>
    </row>
    <row r="9" spans="2:4">
      <c r="B9" s="1">
        <f>[1]!MolarMass(C9)</f>
        <v>16.0428</v>
      </c>
      <c r="C9" s="33" t="s">
        <v>55</v>
      </c>
      <c r="D9" s="41"/>
    </row>
    <row r="10" spans="2:4">
      <c r="B10" s="1">
        <f>[1]!MolarMass(C10)</f>
        <v>39.948</v>
      </c>
      <c r="C10" s="33" t="s">
        <v>51</v>
      </c>
      <c r="D10" s="41"/>
    </row>
    <row r="11" spans="2:4">
      <c r="B11" s="1">
        <f>[1]!MolarMass(C11)</f>
        <v>2.0158800000000001</v>
      </c>
      <c r="C11" s="33" t="s">
        <v>56</v>
      </c>
      <c r="D11" s="41"/>
    </row>
    <row r="12" spans="2:4">
      <c r="B12" s="1">
        <f>[1]!MolarMass(C12)</f>
        <v>28.958600656000002</v>
      </c>
      <c r="C12" s="33" t="s">
        <v>82</v>
      </c>
      <c r="D12" s="41"/>
    </row>
    <row r="13" spans="2:4">
      <c r="B13" s="1">
        <f>[1]!MolarMass(C13)</f>
        <v>28.010100000000001</v>
      </c>
      <c r="C13" s="33" t="s">
        <v>57</v>
      </c>
      <c r="D13" s="41"/>
    </row>
    <row r="14" spans="2:4">
      <c r="B14" s="1">
        <f>[1]!MolarMass(C14)</f>
        <v>31.998799999999999</v>
      </c>
      <c r="C14" s="33" t="s">
        <v>52</v>
      </c>
      <c r="D14" s="36"/>
    </row>
    <row r="15" spans="2:4">
      <c r="C15" s="34" t="s">
        <v>53</v>
      </c>
      <c r="D15" s="35">
        <f>SUM(D7:D14)</f>
        <v>0</v>
      </c>
    </row>
    <row r="16" spans="2:4">
      <c r="C16" s="34"/>
      <c r="D16" s="35"/>
    </row>
    <row r="17" spans="2:4">
      <c r="C17" s="34"/>
      <c r="D17" s="1">
        <f>SUMPRODUCT(C7:C14,D7:D14)</f>
        <v>0</v>
      </c>
    </row>
    <row r="18" spans="2:4">
      <c r="C18" s="34"/>
      <c r="D18" s="1">
        <f>D30*3600/1000</f>
        <v>2834.1458300572804</v>
      </c>
    </row>
    <row r="19" spans="2:4">
      <c r="D19" s="1">
        <f>[1]!density(D4,"TP","SI with C",D35,D37/10)</f>
        <v>0.54237250501530587</v>
      </c>
    </row>
    <row r="20" spans="2:4">
      <c r="D20" s="1">
        <f>[1]!density(D4,"TP","SI with C",D45,D38/10)</f>
        <v>2.8804585362243218</v>
      </c>
    </row>
    <row r="21" spans="2:4">
      <c r="D21" s="3" t="s">
        <v>0</v>
      </c>
    </row>
    <row r="22" spans="2:4">
      <c r="B22" s="4" t="e">
        <f>#REF!*#REF!/3600*1000</f>
        <v>#REF!</v>
      </c>
      <c r="C22" s="4"/>
      <c r="D22" s="5">
        <v>49</v>
      </c>
    </row>
    <row r="23" spans="2:4">
      <c r="D23" s="6">
        <f>D22*60</f>
        <v>2940</v>
      </c>
    </row>
    <row r="24" spans="2:4">
      <c r="C24" s="7" t="s">
        <v>60</v>
      </c>
      <c r="D24" s="37">
        <v>6540</v>
      </c>
    </row>
    <row r="25" spans="2:4">
      <c r="C25" s="7" t="s">
        <v>60</v>
      </c>
      <c r="D25" s="37"/>
    </row>
    <row r="26" spans="2:4">
      <c r="C26" s="7" t="s">
        <v>67</v>
      </c>
      <c r="D26" s="45">
        <v>0.79900000000000004</v>
      </c>
    </row>
    <row r="27" spans="2:4">
      <c r="C27" s="7" t="s">
        <v>68</v>
      </c>
      <c r="D27" s="46">
        <f>D24*D26</f>
        <v>5225.46</v>
      </c>
    </row>
    <row r="28" spans="2:4">
      <c r="C28" s="7"/>
      <c r="D28" s="56">
        <f>D27*D37*273.15/(273.15+D35)</f>
        <v>16106.947374105794</v>
      </c>
    </row>
    <row r="29" spans="2:4">
      <c r="C29" s="7" t="s">
        <v>1</v>
      </c>
      <c r="D29" s="73">
        <f>D30*3.6</f>
        <v>2834.1458300572804</v>
      </c>
    </row>
    <row r="30" spans="2:4">
      <c r="C30" s="7" t="s">
        <v>1</v>
      </c>
      <c r="D30" s="47">
        <f>D27*D19*1000/3600</f>
        <v>787.2627305714667</v>
      </c>
    </row>
    <row r="31" spans="2:4">
      <c r="C31" s="7" t="s">
        <v>2</v>
      </c>
      <c r="D31" s="42">
        <f>[1]!MolarMass(D4)</f>
        <v>4.0026020000000004</v>
      </c>
    </row>
    <row r="32" spans="2:4">
      <c r="C32" s="7" t="s">
        <v>3</v>
      </c>
      <c r="D32" s="39">
        <f>[1]!Isentropicexpansioncoef(D4,"TP","SI with C",D35,D37/10)</f>
        <v>1.6689367961480528</v>
      </c>
    </row>
    <row r="33" spans="2:4">
      <c r="C33" s="7" t="s">
        <v>4</v>
      </c>
      <c r="D33" s="38">
        <f>[1]!IsobaricHeatCapacity(D4,"TP","SI with C",D35,D37/10)</f>
        <v>5.1932852078965688</v>
      </c>
    </row>
    <row r="34" spans="2:4">
      <c r="C34" s="7" t="s">
        <v>5</v>
      </c>
      <c r="D34" s="8">
        <f>D38/D37</f>
        <v>5.8035714285714288</v>
      </c>
    </row>
    <row r="35" spans="2:4">
      <c r="B35" s="50" t="e">
        <f>#REF!+273.15</f>
        <v>#REF!</v>
      </c>
      <c r="C35" s="7" t="s">
        <v>6</v>
      </c>
      <c r="D35" s="74">
        <v>24.6</v>
      </c>
    </row>
    <row r="36" spans="2:4">
      <c r="C36" s="7" t="s">
        <v>7</v>
      </c>
      <c r="D36" s="10">
        <v>3.36</v>
      </c>
    </row>
    <row r="37" spans="2:4">
      <c r="C37" s="7" t="s">
        <v>7</v>
      </c>
      <c r="D37" s="40">
        <v>3.36</v>
      </c>
    </row>
    <row r="38" spans="2:4">
      <c r="C38" s="7" t="s">
        <v>8</v>
      </c>
      <c r="D38" s="27">
        <v>19.5</v>
      </c>
    </row>
    <row r="39" spans="2:4">
      <c r="C39" s="7" t="s">
        <v>78</v>
      </c>
      <c r="D39" s="30">
        <f>(D30*8.314/D31*(D35+273.15)*LN(D38/D37)/1000)</f>
        <v>856.19936290371163</v>
      </c>
    </row>
    <row r="40" spans="2:4">
      <c r="C40" s="7" t="s">
        <v>79</v>
      </c>
      <c r="D40" s="30">
        <f>D37*10^5*D27/3600*LN(D38/D37)/1000</f>
        <v>857.62440319619998</v>
      </c>
    </row>
    <row r="41" spans="2:4">
      <c r="C41" s="7" t="s">
        <v>69</v>
      </c>
      <c r="D41" s="49">
        <v>0.95</v>
      </c>
    </row>
    <row r="42" spans="2:4">
      <c r="C42" s="7" t="s">
        <v>10</v>
      </c>
      <c r="D42" s="11">
        <v>1828.5</v>
      </c>
    </row>
    <row r="43" spans="2:4">
      <c r="C43" s="7" t="s">
        <v>9</v>
      </c>
      <c r="D43" s="64">
        <f>D39/D42</f>
        <v>0.46825231769412723</v>
      </c>
    </row>
    <row r="45" spans="2:4">
      <c r="C45" s="12" t="s">
        <v>11</v>
      </c>
      <c r="D45" s="9">
        <v>50</v>
      </c>
    </row>
    <row r="46" spans="2:4">
      <c r="C46" s="12" t="s">
        <v>12</v>
      </c>
      <c r="D46" s="9">
        <v>0</v>
      </c>
    </row>
    <row r="47" spans="2:4">
      <c r="C47" s="12" t="s">
        <v>13</v>
      </c>
      <c r="D47" s="9"/>
    </row>
    <row r="49" spans="2:4">
      <c r="B49" s="50" t="e">
        <f>#REF!+273.15</f>
        <v>#REF!</v>
      </c>
      <c r="C49" s="12" t="s">
        <v>14</v>
      </c>
      <c r="D49" s="9">
        <v>85.8</v>
      </c>
    </row>
    <row r="50" spans="2:4">
      <c r="B50" s="50" t="e">
        <f>#REF!+273.15</f>
        <v>#REF!</v>
      </c>
      <c r="C50" s="7" t="s">
        <v>15</v>
      </c>
      <c r="D50" s="13">
        <v>57</v>
      </c>
    </row>
    <row r="52" spans="2:4">
      <c r="C52" s="12" t="s">
        <v>16</v>
      </c>
      <c r="D52" s="9">
        <v>10</v>
      </c>
    </row>
    <row r="53" spans="2:4">
      <c r="C53" s="7" t="s">
        <v>17</v>
      </c>
      <c r="D53" s="28">
        <f>D42/(D52*4.18)*3.6</f>
        <v>157.47846889952154</v>
      </c>
    </row>
    <row r="54" spans="2:4">
      <c r="C54" s="12" t="s">
        <v>18</v>
      </c>
      <c r="D54" s="14">
        <f t="shared" ref="D54" si="0">D53-D55</f>
        <v>147.33747379549675</v>
      </c>
    </row>
    <row r="55" spans="2:4">
      <c r="C55" s="12" t="s">
        <v>19</v>
      </c>
      <c r="D55" s="14">
        <f>D30*D33*(D49-D50)/(4.18*D52)*3.6/1000</f>
        <v>10.1409951040248</v>
      </c>
    </row>
    <row r="57" spans="2:4">
      <c r="C57" s="7" t="s">
        <v>20</v>
      </c>
      <c r="D57" s="13">
        <f t="shared" ref="D57" si="1">D45+D46</f>
        <v>50</v>
      </c>
    </row>
    <row r="58" spans="2:4">
      <c r="C58" s="7" t="s">
        <v>21</v>
      </c>
      <c r="D58" s="15">
        <v>1.95</v>
      </c>
    </row>
    <row r="59" spans="2:4">
      <c r="C59" s="7" t="s">
        <v>22</v>
      </c>
      <c r="D59" s="16">
        <v>980</v>
      </c>
    </row>
    <row r="60" spans="2:4">
      <c r="C60" s="17" t="s">
        <v>23</v>
      </c>
      <c r="D60" s="18">
        <f>D61/D59*10^6</f>
        <v>9.7783689780612768</v>
      </c>
    </row>
    <row r="61" spans="2:4">
      <c r="C61" s="17" t="s">
        <v>24</v>
      </c>
      <c r="D61" s="19">
        <f>[2]!mu_("BREOXB35",D38,D49+273)</f>
        <v>9.5828015985000518E-3</v>
      </c>
    </row>
    <row r="64" spans="2:4">
      <c r="C64" s="7" t="s">
        <v>26</v>
      </c>
      <c r="D64" s="13">
        <f>(273.15+D35)*(D38/D37)^((D32-1)/D32)-273.15</f>
        <v>329.34463248750296</v>
      </c>
    </row>
    <row r="65" spans="3:4">
      <c r="C65" s="7" t="s">
        <v>74</v>
      </c>
      <c r="D65" s="13">
        <f>D64-D49</f>
        <v>243.54463248750295</v>
      </c>
    </row>
    <row r="66" spans="3:4">
      <c r="C66" s="7" t="s">
        <v>75</v>
      </c>
      <c r="D66" s="24">
        <f>D33*D65*D30/1000</f>
        <v>995.72733307188048</v>
      </c>
    </row>
    <row r="67" spans="3:4">
      <c r="C67" s="7" t="s">
        <v>25</v>
      </c>
      <c r="D67" s="22">
        <f>D66/(D58*(D49-D46-D57))*3600/D59</f>
        <v>52.396130591470879</v>
      </c>
    </row>
    <row r="68" spans="3:4">
      <c r="C68" s="59"/>
      <c r="D68" s="61">
        <f>D67*1000/60</f>
        <v>873.2688431911813</v>
      </c>
    </row>
    <row r="69" spans="3:4">
      <c r="C69" s="7" t="s">
        <v>75</v>
      </c>
      <c r="D69" s="24">
        <f>0.9*D42</f>
        <v>1645.65</v>
      </c>
    </row>
    <row r="70" spans="3:4">
      <c r="C70" s="7" t="s">
        <v>1</v>
      </c>
      <c r="D70" s="13"/>
    </row>
    <row r="71" spans="3:4">
      <c r="C71" s="7" t="s">
        <v>25</v>
      </c>
      <c r="D71" s="60">
        <f>D69/(D58*(D49-D57))*3600/D59</f>
        <v>86.595686835112232</v>
      </c>
    </row>
    <row r="72" spans="3:4">
      <c r="C72" s="7" t="s">
        <v>25</v>
      </c>
      <c r="D72" s="61">
        <f>D71*1000/60</f>
        <v>1443.2614472518705</v>
      </c>
    </row>
    <row r="73" spans="3:4">
      <c r="C73" s="59"/>
      <c r="D73" s="58"/>
    </row>
    <row r="74" spans="3:4">
      <c r="C74" s="59"/>
      <c r="D74" s="19">
        <f>1219/1309</f>
        <v>0.93124522536287246</v>
      </c>
    </row>
    <row r="75" spans="3:4">
      <c r="C75" s="59"/>
      <c r="D75" s="61">
        <f>D72-E72</f>
        <v>1443.2614472518705</v>
      </c>
    </row>
    <row r="76" spans="3:4">
      <c r="C76" s="59"/>
      <c r="D76" s="58"/>
    </row>
    <row r="77" spans="3:4">
      <c r="C77" s="59"/>
    </row>
    <row r="84" spans="3:4">
      <c r="C84" s="7" t="s">
        <v>27</v>
      </c>
      <c r="D84" s="23"/>
    </row>
    <row r="85" spans="3:4">
      <c r="C85" s="7" t="s">
        <v>28</v>
      </c>
      <c r="D85" s="24">
        <f>D30*D33*D65/1000</f>
        <v>995.72733307188059</v>
      </c>
    </row>
    <row r="86" spans="3:4">
      <c r="C86" s="7" t="s">
        <v>29</v>
      </c>
      <c r="D86" s="24">
        <f>D30*8.314/D31*D35*LN(D38/D37)/1000</f>
        <v>70.738889428820514</v>
      </c>
    </row>
    <row r="88" spans="3:4">
      <c r="C88" s="29" t="s">
        <v>47</v>
      </c>
      <c r="D88" s="29"/>
    </row>
    <row r="89" spans="3:4">
      <c r="C89" s="29"/>
      <c r="D89" s="29"/>
    </row>
    <row r="91" spans="3:4">
      <c r="C91" s="76" t="s">
        <v>107</v>
      </c>
      <c r="D91" s="76">
        <v>526</v>
      </c>
    </row>
    <row r="92" spans="3:4">
      <c r="C92" s="76" t="s">
        <v>108</v>
      </c>
      <c r="D92" s="76" t="s">
        <v>106</v>
      </c>
    </row>
    <row r="93" spans="3:4">
      <c r="C93" s="76" t="s">
        <v>109</v>
      </c>
      <c r="D93" s="76" t="s">
        <v>106</v>
      </c>
    </row>
    <row r="94" spans="3:4">
      <c r="C94" s="76" t="s">
        <v>110</v>
      </c>
      <c r="D94" s="76">
        <v>319.5</v>
      </c>
    </row>
    <row r="95" spans="3:4">
      <c r="C95" s="76" t="s">
        <v>111</v>
      </c>
      <c r="D95" s="76">
        <v>284.2</v>
      </c>
    </row>
    <row r="96" spans="3:4">
      <c r="C96" s="76" t="s">
        <v>112</v>
      </c>
      <c r="D96" s="76">
        <v>254.8</v>
      </c>
    </row>
    <row r="97" spans="2:4">
      <c r="C97" s="76" t="s">
        <v>113</v>
      </c>
      <c r="D97" s="76">
        <f>SUM(D91:D96)</f>
        <v>1384.5</v>
      </c>
    </row>
    <row r="98" spans="2:4">
      <c r="D98" s="70">
        <f>D97*60/1000</f>
        <v>83.07</v>
      </c>
    </row>
    <row r="99" spans="2:4">
      <c r="D99" s="70"/>
    </row>
    <row r="100" spans="2:4">
      <c r="C100" s="43" t="s">
        <v>104</v>
      </c>
      <c r="D100" s="75">
        <f>D29/D20</f>
        <v>983.92175912806306</v>
      </c>
    </row>
    <row r="101" spans="2:4">
      <c r="C101" s="43" t="s">
        <v>105</v>
      </c>
      <c r="D101" s="63">
        <f>D98/(D100+D98)</f>
        <v>7.7854396989798805E-2</v>
      </c>
    </row>
    <row r="105" spans="2:4">
      <c r="B105" s="2" t="s">
        <v>30</v>
      </c>
    </row>
    <row r="106" spans="2:4">
      <c r="B106" s="25" t="s">
        <v>31</v>
      </c>
    </row>
    <row r="107" spans="2:4">
      <c r="B107" s="2"/>
    </row>
    <row r="108" spans="2:4">
      <c r="B108" s="2" t="s">
        <v>32</v>
      </c>
    </row>
    <row r="109" spans="2:4">
      <c r="B109" s="2" t="s">
        <v>33</v>
      </c>
    </row>
    <row r="111" spans="2:4">
      <c r="B111" s="2" t="s">
        <v>34</v>
      </c>
    </row>
    <row r="112" spans="2:4">
      <c r="B112" s="2" t="s">
        <v>35</v>
      </c>
    </row>
    <row r="114" spans="2:2">
      <c r="B114" s="2" t="s">
        <v>36</v>
      </c>
    </row>
    <row r="115" spans="2:2">
      <c r="B115" s="2" t="s">
        <v>37</v>
      </c>
    </row>
    <row r="116" spans="2:2">
      <c r="B116" s="2" t="s">
        <v>38</v>
      </c>
    </row>
    <row r="117" spans="2:2">
      <c r="B117" s="26" t="s">
        <v>39</v>
      </c>
    </row>
    <row r="118" spans="2:2">
      <c r="B118" s="26" t="s">
        <v>40</v>
      </c>
    </row>
    <row r="119" spans="2:2">
      <c r="B119" s="26" t="s">
        <v>41</v>
      </c>
    </row>
    <row r="123" spans="2:2">
      <c r="B123" s="2" t="s">
        <v>42</v>
      </c>
    </row>
    <row r="124" spans="2:2">
      <c r="B124" s="2" t="s">
        <v>43</v>
      </c>
    </row>
    <row r="125" spans="2:2">
      <c r="B125" s="25" t="s">
        <v>44</v>
      </c>
    </row>
    <row r="127" spans="2:2">
      <c r="B127" s="2" t="s">
        <v>45</v>
      </c>
    </row>
    <row r="128" spans="2:2">
      <c r="B128" s="2" t="s">
        <v>46</v>
      </c>
    </row>
    <row r="130" spans="4:4">
      <c r="D130" s="62" t="s">
        <v>86</v>
      </c>
    </row>
    <row r="131" spans="4:4">
      <c r="D131" s="1">
        <v>1950</v>
      </c>
    </row>
    <row r="132" spans="4:4">
      <c r="D132" s="1">
        <v>983</v>
      </c>
    </row>
    <row r="133" spans="4:4">
      <c r="D133" s="1">
        <f>D131*D132</f>
        <v>1916850</v>
      </c>
    </row>
    <row r="154" spans="3:3">
      <c r="C154"/>
    </row>
    <row r="155" spans="3:3">
      <c r="C155"/>
    </row>
    <row r="156" spans="3:3" ht="15">
      <c r="C156" s="6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2:I92"/>
  <sheetViews>
    <sheetView topLeftCell="A4" workbookViewId="0">
      <selection activeCell="D74" sqref="D74"/>
    </sheetView>
  </sheetViews>
  <sheetFormatPr defaultRowHeight="12.75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9.140625" style="1"/>
    <col min="6" max="6" width="24" style="1" customWidth="1"/>
    <col min="7" max="16384" width="9.140625" style="1"/>
  </cols>
  <sheetData>
    <row r="2" spans="1:6">
      <c r="A2" s="43" t="s">
        <v>66</v>
      </c>
      <c r="B2" s="20">
        <f>[1]!MolarMass("air")</f>
        <v>28.958600656000002</v>
      </c>
    </row>
    <row r="3" spans="1:6">
      <c r="A3" s="43"/>
      <c r="B3" s="20"/>
    </row>
    <row r="4" spans="1:6">
      <c r="A4" s="43" t="s">
        <v>64</v>
      </c>
      <c r="B4" s="20">
        <f>[1]!density("air","TP","SI with C",0,1/10)</f>
        <v>1.2758162153163073</v>
      </c>
    </row>
    <row r="8" spans="1:6">
      <c r="A8" s="1">
        <f>[1]!MolarMass(C15)</f>
        <v>4.0026020000000004</v>
      </c>
    </row>
    <row r="9" spans="1:6">
      <c r="A9" s="1">
        <f>[1]!MolarMass(C16)</f>
        <v>28.013480000000001</v>
      </c>
    </row>
    <row r="10" spans="1:6">
      <c r="A10" s="1">
        <f>[1]!MolarMass(C17)</f>
        <v>16.0428</v>
      </c>
    </row>
    <row r="11" spans="1:6">
      <c r="A11" s="1">
        <f>[1]!MolarMass(C18)</f>
        <v>39.948</v>
      </c>
    </row>
    <row r="12" spans="1:6">
      <c r="A12" s="1">
        <f>[1]!MolarMass(C19)</f>
        <v>2.0158800000000001</v>
      </c>
      <c r="D12" s="48" t="s">
        <v>121</v>
      </c>
      <c r="F12" s="48" t="s">
        <v>122</v>
      </c>
    </row>
    <row r="13" spans="1:6">
      <c r="A13" s="1">
        <f>[1]!MolarMass(C20)</f>
        <v>28.958600656000002</v>
      </c>
      <c r="C13" s="7" t="s">
        <v>123</v>
      </c>
      <c r="D13" s="31" t="str">
        <f>[1]!FluidString($C$15:$C$22,D15:D22)</f>
        <v>helium;1</v>
      </c>
      <c r="F13" s="31" t="s">
        <v>54</v>
      </c>
    </row>
    <row r="14" spans="1:6">
      <c r="A14" s="1">
        <f>[1]!MolarMass(C21)</f>
        <v>28.010100000000001</v>
      </c>
      <c r="C14" s="32" t="s">
        <v>48</v>
      </c>
      <c r="D14" s="32" t="s">
        <v>49</v>
      </c>
      <c r="F14" s="32" t="s">
        <v>49</v>
      </c>
    </row>
    <row r="15" spans="1:6">
      <c r="A15" s="1">
        <f>[1]!MolarMass(C22)</f>
        <v>31.998799999999999</v>
      </c>
      <c r="C15" s="33" t="s">
        <v>54</v>
      </c>
      <c r="D15" s="41">
        <v>1</v>
      </c>
      <c r="F15" s="41"/>
    </row>
    <row r="16" spans="1:6">
      <c r="C16" s="33" t="s">
        <v>50</v>
      </c>
      <c r="D16" s="41">
        <v>0</v>
      </c>
      <c r="F16" s="41"/>
    </row>
    <row r="17" spans="3:6">
      <c r="C17" s="33" t="s">
        <v>55</v>
      </c>
      <c r="D17" s="41">
        <v>0</v>
      </c>
      <c r="F17" s="41"/>
    </row>
    <row r="18" spans="3:6">
      <c r="C18" s="33" t="s">
        <v>51</v>
      </c>
      <c r="D18" s="41">
        <v>0</v>
      </c>
      <c r="F18" s="41"/>
    </row>
    <row r="19" spans="3:6">
      <c r="C19" s="33" t="s">
        <v>56</v>
      </c>
      <c r="D19" s="41">
        <v>0</v>
      </c>
      <c r="F19" s="41"/>
    </row>
    <row r="20" spans="3:6">
      <c r="C20" s="33" t="s">
        <v>82</v>
      </c>
      <c r="D20" s="41">
        <v>0</v>
      </c>
      <c r="F20" s="41"/>
    </row>
    <row r="21" spans="3:6">
      <c r="C21" s="33" t="s">
        <v>57</v>
      </c>
      <c r="D21" s="41">
        <v>0</v>
      </c>
      <c r="F21" s="41"/>
    </row>
    <row r="22" spans="3:6">
      <c r="C22" s="33" t="s">
        <v>52</v>
      </c>
      <c r="D22" s="41">
        <v>0</v>
      </c>
      <c r="F22" s="36"/>
    </row>
    <row r="23" spans="3:6">
      <c r="C23" s="34" t="s">
        <v>53</v>
      </c>
      <c r="D23" s="35">
        <f>SUM(D15:D22)</f>
        <v>1</v>
      </c>
      <c r="F23" s="35">
        <f>SUM(F15:F22)</f>
        <v>0</v>
      </c>
    </row>
    <row r="24" spans="3:6">
      <c r="D24" s="6"/>
      <c r="F24" s="6"/>
    </row>
    <row r="25" spans="3:6">
      <c r="C25" s="7" t="s">
        <v>125</v>
      </c>
      <c r="D25" s="37">
        <v>6540</v>
      </c>
      <c r="F25" s="37">
        <v>6540</v>
      </c>
    </row>
    <row r="27" spans="3:6">
      <c r="C27" s="7" t="s">
        <v>114</v>
      </c>
      <c r="D27" s="45">
        <v>0.82203058218450165</v>
      </c>
      <c r="F27" s="45">
        <v>0.80500000000000005</v>
      </c>
    </row>
    <row r="28" spans="3:6">
      <c r="C28" s="7" t="s">
        <v>68</v>
      </c>
      <c r="D28" s="46">
        <f>D25*D27</f>
        <v>5376.0800074866411</v>
      </c>
      <c r="F28" s="46">
        <f>F25*F27</f>
        <v>5264.7000000000007</v>
      </c>
    </row>
    <row r="29" spans="3:6">
      <c r="C29" s="7"/>
      <c r="D29" s="56">
        <f>D28*D38*273.15/(273.15+D36)</f>
        <v>4846.4562839768187</v>
      </c>
      <c r="F29" s="56">
        <f>F28*F38*273.15/(273.15+F36)</f>
        <v>18154.507764964936</v>
      </c>
    </row>
    <row r="30" spans="3:6">
      <c r="C30" s="7" t="s">
        <v>1</v>
      </c>
      <c r="D30" s="81">
        <f>D31*3.6</f>
        <v>1088.6399999999999</v>
      </c>
      <c r="F30" s="81">
        <f>F31*3.6</f>
        <v>3193.8403621969114</v>
      </c>
    </row>
    <row r="31" spans="3:6">
      <c r="C31" s="7" t="s">
        <v>1</v>
      </c>
      <c r="D31" s="47">
        <v>302.39999999999998</v>
      </c>
      <c r="F31" s="47">
        <f>F28*F76*1000/3600</f>
        <v>887.17787838803099</v>
      </c>
    </row>
    <row r="32" spans="3:6">
      <c r="C32" s="7" t="s">
        <v>2</v>
      </c>
      <c r="D32" s="42">
        <f>[1]!MolarMass(D13)</f>
        <v>4.0026020000000004</v>
      </c>
      <c r="F32" s="42">
        <f>[1]!MolarMass(F13)</f>
        <v>4.0026020000000004</v>
      </c>
    </row>
    <row r="33" spans="3:6">
      <c r="C33" s="7" t="s">
        <v>3</v>
      </c>
      <c r="D33" s="39">
        <f>[1]!Isentropicexpansioncoef(D13,"TP","SI with C",D36,D38/10)</f>
        <v>1.6673199910656009</v>
      </c>
      <c r="F33" s="39">
        <f>[1]!Isentropicexpansioncoef(F13,"TP","SI with C",F36,F38/10)</f>
        <v>1.6691872738573212</v>
      </c>
    </row>
    <row r="34" spans="3:6">
      <c r="C34" s="7" t="s">
        <v>4</v>
      </c>
      <c r="D34" s="38">
        <f>[1]!IsobaricHeatCapacity(D13,"TP","SI with C",D36,D38/10)</f>
        <v>5.1931821595525189</v>
      </c>
      <c r="F34" s="38">
        <f>[1]!IsobaricHeatCapacity(F13,"TP","SI with C",F36,F38/10)</f>
        <v>5.1932659967043273</v>
      </c>
    </row>
    <row r="35" spans="3:6">
      <c r="C35" s="7" t="s">
        <v>5</v>
      </c>
      <c r="D35" s="8">
        <f>D39/D38</f>
        <v>4.0952380952380949</v>
      </c>
      <c r="F35" s="8">
        <f>F39/F38</f>
        <v>5.4082687338501287</v>
      </c>
    </row>
    <row r="36" spans="3:6">
      <c r="C36" s="7" t="s">
        <v>6</v>
      </c>
      <c r="D36" s="74">
        <v>45</v>
      </c>
      <c r="F36" s="74">
        <v>33.4</v>
      </c>
    </row>
    <row r="37" spans="3:6">
      <c r="C37" s="7" t="s">
        <v>7</v>
      </c>
      <c r="D37" s="10">
        <v>1.05</v>
      </c>
      <c r="F37" s="10">
        <v>3.87</v>
      </c>
    </row>
    <row r="38" spans="3:6">
      <c r="C38" s="7" t="s">
        <v>7</v>
      </c>
      <c r="D38" s="40">
        <f>D37</f>
        <v>1.05</v>
      </c>
      <c r="F38" s="40">
        <f>F37</f>
        <v>3.87</v>
      </c>
    </row>
    <row r="39" spans="3:6">
      <c r="C39" s="7" t="s">
        <v>8</v>
      </c>
      <c r="D39" s="27">
        <v>4.3</v>
      </c>
      <c r="F39" s="27">
        <v>20.93</v>
      </c>
    </row>
    <row r="40" spans="3:6">
      <c r="C40" s="7" t="s">
        <v>78</v>
      </c>
      <c r="D40" s="30">
        <f>(D31*8.314/D32*(D36+273.15)*LN(D39/D38)/1000)</f>
        <v>281.73868969519305</v>
      </c>
      <c r="F40" s="30">
        <f>(F31*8.314/F32*(F36+273.15)*LN(F39/F38)/1000)</f>
        <v>953.52880950530391</v>
      </c>
    </row>
    <row r="41" spans="3:6">
      <c r="C41" s="7" t="s">
        <v>79</v>
      </c>
      <c r="D41" s="30">
        <f>D38*10^5*D28/3600*LN(D39/D38)/1000</f>
        <v>221.06382771670368</v>
      </c>
      <c r="F41" s="30">
        <f>F38*10^5*F28/3600*LN(F39/F38)/1000</f>
        <v>955.29229582551318</v>
      </c>
    </row>
    <row r="42" spans="3:6">
      <c r="C42" s="7" t="s">
        <v>117</v>
      </c>
      <c r="D42" s="30">
        <f>(D31*8.314/D32*(D36+273.15)*D33/(D33-1)*((D39/D38)^((D33-1)/D33)-1))/1000</f>
        <v>378.54765715267899</v>
      </c>
      <c r="F42" s="30">
        <f>(F31*8.314/F32*(F36+273.15)*F33/(F33-1)*((F39/F38)^((F33-1)/F33)-1))/1000</f>
        <v>1363.1152797542177</v>
      </c>
    </row>
    <row r="43" spans="3:6">
      <c r="C43" s="7" t="s">
        <v>69</v>
      </c>
      <c r="D43" s="49">
        <v>0.95</v>
      </c>
      <c r="F43" s="49">
        <v>0.95</v>
      </c>
    </row>
    <row r="44" spans="3:6">
      <c r="C44" s="7" t="s">
        <v>10</v>
      </c>
      <c r="D44" s="11">
        <v>479.2</v>
      </c>
      <c r="F44" s="30">
        <f>(F30*8.314/F31*(F35+273.15)*LN(F38/F37)/1000)/F45</f>
        <v>0</v>
      </c>
    </row>
    <row r="45" spans="3:6">
      <c r="C45" s="7" t="s">
        <v>10</v>
      </c>
      <c r="D45" s="11">
        <v>479.2</v>
      </c>
      <c r="F45" s="30">
        <f>(F31*8.314/F32*(F36+273.15)*LN(F39/F38)/1000)/F46</f>
        <v>1974.1797298246458</v>
      </c>
    </row>
    <row r="46" spans="3:6">
      <c r="C46" s="7" t="s">
        <v>9</v>
      </c>
      <c r="D46" s="64">
        <f>D40/D45</f>
        <v>0.58793549602502726</v>
      </c>
      <c r="F46" s="80">
        <v>0.48299999999999998</v>
      </c>
    </row>
    <row r="47" spans="3:6">
      <c r="C47" s="7" t="s">
        <v>118</v>
      </c>
      <c r="D47" s="64">
        <f>D42/D45</f>
        <v>0.78995754831527343</v>
      </c>
      <c r="F47" s="64">
        <f>F42/F45</f>
        <v>0.69047172309650584</v>
      </c>
    </row>
    <row r="48" spans="3:6">
      <c r="C48" s="12" t="s">
        <v>11</v>
      </c>
      <c r="D48" s="9">
        <v>50</v>
      </c>
      <c r="F48" s="9">
        <v>47.3</v>
      </c>
    </row>
    <row r="49" spans="3:9">
      <c r="C49" s="12" t="s">
        <v>12</v>
      </c>
      <c r="D49" s="9">
        <v>0</v>
      </c>
      <c r="F49" s="9">
        <v>0</v>
      </c>
    </row>
    <row r="50" spans="3:9">
      <c r="C50" s="12" t="s">
        <v>13</v>
      </c>
      <c r="D50" s="9"/>
      <c r="F50" s="9"/>
    </row>
    <row r="52" spans="3:9">
      <c r="C52" s="12" t="s">
        <v>14</v>
      </c>
      <c r="D52" s="74">
        <v>70.567572809870768</v>
      </c>
      <c r="F52" s="78">
        <v>87.975715675451127</v>
      </c>
    </row>
    <row r="53" spans="3:9">
      <c r="C53" s="7" t="s">
        <v>15</v>
      </c>
      <c r="D53" s="13">
        <v>57</v>
      </c>
      <c r="F53" s="13">
        <v>57</v>
      </c>
    </row>
    <row r="54" spans="3:9">
      <c r="I54" s="1" t="s">
        <v>115</v>
      </c>
    </row>
    <row r="55" spans="3:9">
      <c r="C55" s="12" t="s">
        <v>16</v>
      </c>
      <c r="D55" s="9">
        <v>10</v>
      </c>
      <c r="F55" s="9">
        <v>10</v>
      </c>
    </row>
    <row r="56" spans="3:9">
      <c r="C56" s="7" t="s">
        <v>17</v>
      </c>
      <c r="D56" s="28">
        <f>D45/(D55*4.18)*3.6</f>
        <v>41.270813397129189</v>
      </c>
      <c r="F56" s="28">
        <f>F45/(F55*4.18)*3.6</f>
        <v>170.02504850164414</v>
      </c>
    </row>
    <row r="57" spans="3:9">
      <c r="C57" s="12" t="s">
        <v>18</v>
      </c>
      <c r="D57" s="14">
        <f t="shared" ref="D57:F57" si="0">D56-D58</f>
        <v>39.435781054362167</v>
      </c>
      <c r="F57" s="14">
        <f t="shared" si="0"/>
        <v>157.73371960046848</v>
      </c>
    </row>
    <row r="58" spans="3:9">
      <c r="C58" s="12" t="s">
        <v>19</v>
      </c>
      <c r="D58" s="14">
        <f>D31*D34*(D52-D53)/(4.18*D55)*3.6/1000</f>
        <v>1.8350323427670183</v>
      </c>
      <c r="F58" s="14">
        <f>F31*F34*(F52-F53)/(4.18*F55)*3.6/1000</f>
        <v>12.291328901175662</v>
      </c>
    </row>
    <row r="60" spans="3:9">
      <c r="C60" s="7" t="s">
        <v>20</v>
      </c>
      <c r="D60" s="13">
        <f t="shared" ref="D60:F60" si="1">D48+D49</f>
        <v>50</v>
      </c>
      <c r="F60" s="13">
        <f t="shared" si="1"/>
        <v>47.3</v>
      </c>
    </row>
    <row r="61" spans="3:9">
      <c r="C61" s="7" t="s">
        <v>21</v>
      </c>
      <c r="D61" s="15">
        <v>1.95</v>
      </c>
      <c r="F61" s="15">
        <v>1.95</v>
      </c>
    </row>
    <row r="62" spans="3:9">
      <c r="C62" s="7" t="s">
        <v>22</v>
      </c>
      <c r="D62" s="16">
        <v>980</v>
      </c>
      <c r="F62" s="16">
        <v>980</v>
      </c>
      <c r="I62" s="1" t="s">
        <v>116</v>
      </c>
    </row>
    <row r="63" spans="3:9">
      <c r="C63" s="17" t="s">
        <v>23</v>
      </c>
      <c r="D63" s="18">
        <f>D64/D62*10^6</f>
        <v>14.147691026506525</v>
      </c>
      <c r="F63" s="18">
        <f>F64/F62*10^6</f>
        <v>9.2579692586983828</v>
      </c>
    </row>
    <row r="64" spans="3:9">
      <c r="C64" s="17" t="s">
        <v>24</v>
      </c>
      <c r="D64" s="19">
        <f>[2]!mu_("BREOXB35",D39,D52+273)</f>
        <v>1.3864737205976394E-2</v>
      </c>
      <c r="F64" s="19">
        <f>[2]!mu_("BREOXB35",F39,F52+273)</f>
        <v>9.0728098735244154E-3</v>
      </c>
    </row>
    <row r="67" spans="3:6">
      <c r="C67" s="7" t="s">
        <v>26</v>
      </c>
      <c r="D67" s="13">
        <f>(273.15+D36)*(D39/D38)^((D33-1)/D33)-273.15</f>
        <v>286.20501970827775</v>
      </c>
      <c r="F67" s="13">
        <f>(273.15+F36)*(F39/F38)^((F33-1)/F33)-273.15</f>
        <v>329.94928277500037</v>
      </c>
    </row>
    <row r="68" spans="3:6">
      <c r="C68" s="7" t="s">
        <v>74</v>
      </c>
      <c r="D68" s="13">
        <f>D67-D52</f>
        <v>215.63744689840698</v>
      </c>
      <c r="F68" s="13">
        <f>F67-F52</f>
        <v>241.97356709954926</v>
      </c>
    </row>
    <row r="69" spans="3:6">
      <c r="C69" s="7" t="s">
        <v>75</v>
      </c>
      <c r="D69" s="24">
        <f>D34*D68*D31/1000/D47</f>
        <v>428.68251626012716</v>
      </c>
      <c r="F69" s="24">
        <f>F34*F68*F31/1000/F47</f>
        <v>1614.6310538279276</v>
      </c>
    </row>
    <row r="70" spans="3:6">
      <c r="C70" s="7" t="s">
        <v>124</v>
      </c>
      <c r="D70" s="22">
        <f>D69/(D61*(D52-D49-D60))*3600/D62</f>
        <v>39.26400004673058</v>
      </c>
      <c r="F70" s="22">
        <f>F69/(F61*(F52-F49-F60))*3600/F62</f>
        <v>74.77904451583548</v>
      </c>
    </row>
    <row r="71" spans="3:6">
      <c r="C71" s="7" t="s">
        <v>124</v>
      </c>
      <c r="D71" s="77">
        <f>D70*1000/60</f>
        <v>654.40000077884304</v>
      </c>
      <c r="F71" s="77">
        <f>F70*1000/60</f>
        <v>1246.317408597258</v>
      </c>
    </row>
    <row r="72" spans="3:6">
      <c r="C72" s="59"/>
      <c r="D72" s="59"/>
    </row>
    <row r="73" spans="3:6">
      <c r="F73" s="79">
        <f>D71-F71</f>
        <v>-591.91740781841497</v>
      </c>
    </row>
    <row r="74" spans="3:6">
      <c r="C74" s="43" t="s">
        <v>104</v>
      </c>
      <c r="D74" s="75">
        <f>D30/D77</f>
        <v>1702.656550486688</v>
      </c>
      <c r="F74" s="75">
        <f>F30/F77</f>
        <v>1025.1273480376451</v>
      </c>
    </row>
    <row r="75" spans="3:6">
      <c r="C75" s="43" t="s">
        <v>105</v>
      </c>
      <c r="D75" s="63">
        <f>D70/(D74+D100)</f>
        <v>2.3060434610554514E-2</v>
      </c>
      <c r="F75" s="63">
        <f>F70/(F74+F100)</f>
        <v>7.2946102412526234E-2</v>
      </c>
    </row>
    <row r="76" spans="3:6">
      <c r="C76" s="43" t="s">
        <v>119</v>
      </c>
      <c r="D76" s="1">
        <f>[1]!density(D13,"TP","SI with C",D36,D38/10)</f>
        <v>0.15880436223930217</v>
      </c>
      <c r="F76" s="1">
        <f>[1]!density(F13,"TP","SI with C",F36,F38/10)</f>
        <v>0.60665191980491029</v>
      </c>
    </row>
    <row r="77" spans="3:6">
      <c r="C77" s="43" t="s">
        <v>120</v>
      </c>
      <c r="D77" s="1">
        <f>[1]!density(D13,"TP","SI with C",D48,D39/10)</f>
        <v>0.63937733049499768</v>
      </c>
      <c r="F77" s="1">
        <f>[1]!density(F13,"TP","SI with C",F48,F39/10)</f>
        <v>3.1155547340637586</v>
      </c>
    </row>
    <row r="78" spans="3:6">
      <c r="C78" s="43" t="s">
        <v>126</v>
      </c>
      <c r="D78" s="1">
        <f>[1]!density("helium","TP","SI with C",0,1/10)</f>
        <v>0.1761481440000498</v>
      </c>
    </row>
    <row r="85" spans="3:5">
      <c r="C85" s="1">
        <v>302</v>
      </c>
      <c r="D85" s="1">
        <f>C85*3.6/0.176</f>
        <v>6177.2727272727279</v>
      </c>
      <c r="E85" s="1">
        <f>D85*2</f>
        <v>12354.545454545456</v>
      </c>
    </row>
    <row r="86" spans="3:5">
      <c r="C86" s="1">
        <v>257</v>
      </c>
      <c r="D86" s="1">
        <f>C86*3.6/0.176</f>
        <v>5256.818181818182</v>
      </c>
      <c r="E86" s="1">
        <f>D86*2</f>
        <v>10513.636363636364</v>
      </c>
    </row>
    <row r="87" spans="3:5">
      <c r="C87" s="1">
        <v>900</v>
      </c>
      <c r="D87" s="1">
        <f>C87*3.6/D78</f>
        <v>18393.60850716136</v>
      </c>
      <c r="E87" s="1">
        <f>D87*2</f>
        <v>36787.217014322719</v>
      </c>
    </row>
    <row r="90" spans="3:5">
      <c r="C90"/>
    </row>
    <row r="91" spans="3:5">
      <c r="C91"/>
    </row>
    <row r="92" spans="3:5" ht="15">
      <c r="C92" s="65"/>
    </row>
  </sheetData>
  <pageMargins left="0.7" right="0.7" top="0.75" bottom="0.75" header="0.3" footer="0.3"/>
  <pageSetup paperSize="9" orientation="portrait" r:id="rId1"/>
  <drawing r:id="rId2"/>
  <legacyDrawing r:id="rId3"/>
  <oleObjects>
    <oleObject progId="Equation.3" shapeId="3073" r:id="rId4"/>
    <oleObject progId="Equation.3" shapeId="3074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2:AB106"/>
  <sheetViews>
    <sheetView topLeftCell="A31" zoomScale="70" zoomScaleNormal="70" workbookViewId="0">
      <selection activeCell="D72" sqref="D72"/>
    </sheetView>
  </sheetViews>
  <sheetFormatPr defaultRowHeight="12.75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2.85546875" style="1" customWidth="1"/>
    <col min="6" max="6" width="24" style="1" customWidth="1"/>
    <col min="7" max="7" width="2.85546875" style="1" customWidth="1"/>
    <col min="8" max="8" width="24" style="1" customWidth="1"/>
    <col min="9" max="9" width="3.28515625" style="1" customWidth="1"/>
    <col min="10" max="10" width="16.42578125" style="1" customWidth="1"/>
    <col min="11" max="11" width="3.28515625" style="1" customWidth="1"/>
    <col min="12" max="12" width="18.5703125" style="1" customWidth="1"/>
    <col min="13" max="16384" width="9.140625" style="1"/>
  </cols>
  <sheetData>
    <row r="2" spans="1:28">
      <c r="A2" s="43" t="s">
        <v>66</v>
      </c>
      <c r="B2" s="20">
        <f>[1]!MolarMass("air")</f>
        <v>28.958600656000002</v>
      </c>
    </row>
    <row r="3" spans="1:28">
      <c r="A3" s="43"/>
      <c r="B3" s="20"/>
    </row>
    <row r="4" spans="1:28">
      <c r="A4" s="43" t="s">
        <v>64</v>
      </c>
      <c r="B4" s="20">
        <f>[1]!density("air","TP","SI with C",0,1/10)</f>
        <v>1.2758162153163073</v>
      </c>
    </row>
    <row r="8" spans="1:28">
      <c r="A8" s="1">
        <f>[1]!MolarMass(C15)</f>
        <v>4.0026020000000004</v>
      </c>
    </row>
    <row r="9" spans="1:28">
      <c r="A9" s="1">
        <f>[1]!MolarMass(C16)</f>
        <v>28.013480000000001</v>
      </c>
    </row>
    <row r="10" spans="1:28">
      <c r="A10" s="1">
        <f>[1]!MolarMass(C17)</f>
        <v>16.0428</v>
      </c>
    </row>
    <row r="11" spans="1:28">
      <c r="A11" s="1">
        <f>[1]!MolarMass(C18)</f>
        <v>39.948</v>
      </c>
      <c r="D11" s="48" t="s">
        <v>121</v>
      </c>
      <c r="F11" s="48" t="s">
        <v>138</v>
      </c>
      <c r="H11" s="48" t="s">
        <v>122</v>
      </c>
      <c r="J11" s="48" t="s">
        <v>122</v>
      </c>
      <c r="L11" s="48" t="s">
        <v>127</v>
      </c>
    </row>
    <row r="12" spans="1:28">
      <c r="A12" s="1">
        <f>[1]!MolarMass(C19)</f>
        <v>2.0158800000000001</v>
      </c>
      <c r="F12" s="48" t="s">
        <v>139</v>
      </c>
      <c r="H12" s="48" t="s">
        <v>140</v>
      </c>
    </row>
    <row r="13" spans="1:28">
      <c r="A13" s="1">
        <f>[1]!MolarMass(C20)</f>
        <v>28.958600656000002</v>
      </c>
      <c r="C13" s="7" t="s">
        <v>123</v>
      </c>
      <c r="D13" s="31" t="str">
        <f>[1]!FluidString($C$15:$C$22,D15:D22)</f>
        <v>helium;1</v>
      </c>
      <c r="F13" s="31" t="str">
        <f>[1]!FluidString($C$15:$C$22,F15:F22)</f>
        <v>helium;1</v>
      </c>
      <c r="H13" s="31" t="str">
        <f>[1]!FluidString($C$15:$C$22,H15:H22)</f>
        <v>helium;1</v>
      </c>
      <c r="J13" s="31" t="str">
        <f>[1]!FluidString($C$15:$C$22,J15:J22)</f>
        <v>helium;1</v>
      </c>
      <c r="L13" s="31" t="str">
        <f>[1]!FluidString($C$15:$C$22,L15:L22)</f>
        <v>helium;1</v>
      </c>
    </row>
    <row r="14" spans="1:28">
      <c r="A14" s="1">
        <f>[1]!MolarMass(C21)</f>
        <v>28.010100000000001</v>
      </c>
      <c r="C14" s="32" t="s">
        <v>48</v>
      </c>
      <c r="D14" s="32" t="s">
        <v>49</v>
      </c>
      <c r="F14" s="32" t="s">
        <v>49</v>
      </c>
      <c r="H14" s="32" t="s">
        <v>49</v>
      </c>
      <c r="J14" s="32" t="s">
        <v>49</v>
      </c>
      <c r="L14" s="32" t="s">
        <v>49</v>
      </c>
    </row>
    <row r="15" spans="1:28">
      <c r="A15" s="1">
        <f>[1]!MolarMass(C22)</f>
        <v>31.998799999999999</v>
      </c>
      <c r="C15" s="33" t="s">
        <v>54</v>
      </c>
      <c r="D15" s="41">
        <v>1</v>
      </c>
      <c r="F15" s="41">
        <v>1</v>
      </c>
      <c r="H15" s="41">
        <v>1</v>
      </c>
      <c r="J15" s="41">
        <v>1</v>
      </c>
      <c r="L15" s="41">
        <v>1</v>
      </c>
      <c r="AB15" s="1" t="s">
        <v>115</v>
      </c>
    </row>
    <row r="16" spans="1:28">
      <c r="C16" s="33" t="s">
        <v>50</v>
      </c>
      <c r="D16" s="41">
        <v>0</v>
      </c>
      <c r="F16" s="41">
        <v>0</v>
      </c>
      <c r="H16" s="41">
        <v>0</v>
      </c>
      <c r="J16" s="41">
        <v>0</v>
      </c>
      <c r="L16" s="41">
        <v>0</v>
      </c>
    </row>
    <row r="17" spans="3:28">
      <c r="C17" s="33" t="s">
        <v>55</v>
      </c>
      <c r="D17" s="41">
        <v>0</v>
      </c>
      <c r="F17" s="41">
        <v>0</v>
      </c>
      <c r="H17" s="41">
        <v>0</v>
      </c>
      <c r="J17" s="41">
        <v>0</v>
      </c>
      <c r="L17" s="41">
        <v>0</v>
      </c>
    </row>
    <row r="18" spans="3:28">
      <c r="C18" s="33" t="s">
        <v>51</v>
      </c>
      <c r="D18" s="41">
        <v>0</v>
      </c>
      <c r="F18" s="41">
        <v>0</v>
      </c>
      <c r="H18" s="41">
        <v>0</v>
      </c>
      <c r="J18" s="41">
        <v>0</v>
      </c>
      <c r="L18" s="41">
        <v>0</v>
      </c>
    </row>
    <row r="19" spans="3:28">
      <c r="C19" s="33" t="s">
        <v>56</v>
      </c>
      <c r="D19" s="41">
        <v>0</v>
      </c>
      <c r="F19" s="41">
        <v>0</v>
      </c>
      <c r="H19" s="41">
        <v>0</v>
      </c>
      <c r="J19" s="41">
        <v>0</v>
      </c>
      <c r="L19" s="41">
        <v>0</v>
      </c>
    </row>
    <row r="20" spans="3:28">
      <c r="C20" s="33" t="s">
        <v>82</v>
      </c>
      <c r="D20" s="41">
        <v>0</v>
      </c>
      <c r="F20" s="41">
        <v>0</v>
      </c>
      <c r="H20" s="41">
        <v>0</v>
      </c>
      <c r="J20" s="41">
        <v>0</v>
      </c>
      <c r="L20" s="41">
        <v>0</v>
      </c>
    </row>
    <row r="21" spans="3:28">
      <c r="C21" s="33" t="s">
        <v>57</v>
      </c>
      <c r="D21" s="41">
        <v>0</v>
      </c>
      <c r="F21" s="41">
        <v>0</v>
      </c>
      <c r="H21" s="41">
        <v>0</v>
      </c>
      <c r="J21" s="41">
        <v>0</v>
      </c>
      <c r="L21" s="41">
        <v>0</v>
      </c>
    </row>
    <row r="22" spans="3:28">
      <c r="C22" s="33" t="s">
        <v>52</v>
      </c>
      <c r="D22" s="41">
        <v>0</v>
      </c>
      <c r="F22" s="41">
        <v>0</v>
      </c>
      <c r="H22" s="41">
        <v>0</v>
      </c>
      <c r="J22" s="41">
        <v>0</v>
      </c>
      <c r="L22" s="41">
        <v>0</v>
      </c>
    </row>
    <row r="23" spans="3:28">
      <c r="C23" s="34" t="s">
        <v>53</v>
      </c>
      <c r="D23" s="35">
        <f>SUM(D15:D22)</f>
        <v>1</v>
      </c>
      <c r="F23" s="35">
        <f>SUM(F15:F22)</f>
        <v>1</v>
      </c>
      <c r="H23" s="35">
        <f>SUM(H15:H22)</f>
        <v>1</v>
      </c>
      <c r="J23" s="35">
        <f>SUM(J15:J22)</f>
        <v>1</v>
      </c>
      <c r="L23" s="35">
        <f>SUM(L15:L22)</f>
        <v>1</v>
      </c>
    </row>
    <row r="24" spans="3:28">
      <c r="D24" s="6"/>
      <c r="F24" s="6"/>
      <c r="H24" s="6"/>
      <c r="J24" s="6"/>
      <c r="L24" s="6"/>
      <c r="AB24" s="1" t="s">
        <v>132</v>
      </c>
    </row>
    <row r="25" spans="3:28">
      <c r="C25" s="7" t="s">
        <v>125</v>
      </c>
      <c r="D25" s="37">
        <v>6540</v>
      </c>
      <c r="F25" s="37">
        <v>6540</v>
      </c>
      <c r="H25" s="37">
        <v>6540</v>
      </c>
      <c r="J25" s="37">
        <v>6540</v>
      </c>
      <c r="L25" s="37">
        <v>6540</v>
      </c>
    </row>
    <row r="27" spans="3:28">
      <c r="C27" s="7" t="s">
        <v>114</v>
      </c>
      <c r="D27" s="45">
        <v>0.82203058218450165</v>
      </c>
      <c r="F27" s="45">
        <v>0.80500000000000005</v>
      </c>
      <c r="H27" s="45">
        <v>0.80500000000000005</v>
      </c>
      <c r="J27" s="45">
        <v>0.80500000000000005</v>
      </c>
      <c r="L27" s="45">
        <v>0.80500000000000005</v>
      </c>
    </row>
    <row r="28" spans="3:28">
      <c r="C28" s="7" t="s">
        <v>68</v>
      </c>
      <c r="D28" s="46">
        <f>D25*D27</f>
        <v>5376.0800074866411</v>
      </c>
      <c r="F28" s="46">
        <f>F25*F27</f>
        <v>5264.7000000000007</v>
      </c>
      <c r="H28" s="46">
        <f>H25*H27</f>
        <v>5264.7000000000007</v>
      </c>
      <c r="J28" s="46">
        <f>J25*J27</f>
        <v>5264.7000000000007</v>
      </c>
      <c r="L28" s="46">
        <f>L25*L27</f>
        <v>5264.7000000000007</v>
      </c>
    </row>
    <row r="29" spans="3:28">
      <c r="C29" s="7" t="s">
        <v>128</v>
      </c>
      <c r="D29" s="56">
        <f>D28*D38*273.15/(273.15+D36)</f>
        <v>18416.53387911191</v>
      </c>
      <c r="F29" s="56">
        <f>F28*F38*273.15/(273.15+F36)</f>
        <v>18154.507764964936</v>
      </c>
      <c r="H29" s="56">
        <f>H28*H38*273.15/(273.15+H36)</f>
        <v>18154.507764964936</v>
      </c>
      <c r="J29" s="56">
        <f>J28*J38*273.15/(273.15+J36)</f>
        <v>18154.507764964936</v>
      </c>
      <c r="L29" s="56">
        <f>L28*L38*273.15/(273.15+L36)</f>
        <v>18154.507764964936</v>
      </c>
    </row>
    <row r="30" spans="3:28">
      <c r="C30" s="7" t="s">
        <v>129</v>
      </c>
      <c r="D30" s="81">
        <f>D31*3.6</f>
        <v>3240.0000000000014</v>
      </c>
      <c r="F30" s="81">
        <f>F31*3.6</f>
        <v>3193.8403621969114</v>
      </c>
      <c r="H30" s="81">
        <f>H31*3.6</f>
        <v>3193.8403621969114</v>
      </c>
      <c r="J30" s="81">
        <f>J31*3.6</f>
        <v>3193.8403621969114</v>
      </c>
      <c r="L30" s="81">
        <f>L31*3.6</f>
        <v>3193.8403621969114</v>
      </c>
    </row>
    <row r="31" spans="3:28">
      <c r="C31" s="7" t="s">
        <v>130</v>
      </c>
      <c r="D31" s="47">
        <f>D28*D87*1000/3600</f>
        <v>900.00000000000034</v>
      </c>
      <c r="F31" s="47">
        <f>F28*F87*1000/3600</f>
        <v>887.17787838803099</v>
      </c>
      <c r="H31" s="47">
        <f>H28*H87*1000/3600</f>
        <v>887.17787838803099</v>
      </c>
      <c r="J31" s="47">
        <f>J28*J87*1000/3600</f>
        <v>887.17787838803099</v>
      </c>
      <c r="L31" s="47">
        <f>L28*L87*1000/3600</f>
        <v>887.17787838803099</v>
      </c>
    </row>
    <row r="32" spans="3:28">
      <c r="C32" s="7" t="s">
        <v>2</v>
      </c>
      <c r="D32" s="42">
        <f>[1]!MolarMass(D13)</f>
        <v>4.0026020000000004</v>
      </c>
      <c r="F32" s="42">
        <f>[1]!MolarMass(F13)</f>
        <v>4.0026020000000004</v>
      </c>
      <c r="H32" s="42">
        <f>[1]!MolarMass(H13)</f>
        <v>4.0026020000000004</v>
      </c>
      <c r="J32" s="42">
        <f>[1]!MolarMass(J13)</f>
        <v>4.0026020000000004</v>
      </c>
      <c r="L32" s="42">
        <f>[1]!MolarMass(L13)</f>
        <v>4.0026020000000004</v>
      </c>
    </row>
    <row r="33" spans="3:12">
      <c r="C33" s="7" t="s">
        <v>3</v>
      </c>
      <c r="D33" s="39">
        <f>[1]!Isentropicexpansioncoef(D13,"TP","SI with C",D36,D38/10)</f>
        <v>1.6691470208522363</v>
      </c>
      <c r="F33" s="39">
        <f>[1]!Isentropicexpansioncoef(F13,"TP","SI with C",F36,F38/10)</f>
        <v>1.6691872738573212</v>
      </c>
      <c r="H33" s="39">
        <f>[1]!Isentropicexpansioncoef(H13,"TP","SI with C",H36,H38/10)</f>
        <v>1.6691872738573212</v>
      </c>
      <c r="J33" s="39">
        <f>[1]!Isentropicexpansioncoef(J13,"TP","SI with C",J36,J38/10)</f>
        <v>1.6691872738573212</v>
      </c>
      <c r="L33" s="39">
        <f>[1]!Isentropicexpansioncoef(L13,"TP","SI with C",L36,L38/10)</f>
        <v>1.6691872738573212</v>
      </c>
    </row>
    <row r="34" spans="3:12">
      <c r="C34" s="7" t="s">
        <v>4</v>
      </c>
      <c r="D34" s="38">
        <f>[1]!IsobaricHeatCapacity(D13,"TP","SI with C",D36,D38/10)</f>
        <v>5.1932246553174162</v>
      </c>
      <c r="F34" s="38">
        <f>[1]!IsobaricHeatCapacity(F13,"TP","SI with C",F36,F38/10)</f>
        <v>5.1932659967043273</v>
      </c>
      <c r="H34" s="38">
        <f>[1]!IsobaricHeatCapacity(H13,"TP","SI with C",H36,H38/10)</f>
        <v>5.1932659967043273</v>
      </c>
      <c r="J34" s="38">
        <f>[1]!IsobaricHeatCapacity(J13,"TP","SI with C",J36,J38/10)</f>
        <v>5.1932659967043273</v>
      </c>
      <c r="L34" s="38">
        <f>[1]!IsobaricHeatCapacity(L13,"TP","SI with C",L36,L38/10)</f>
        <v>5.1932659967043273</v>
      </c>
    </row>
    <row r="35" spans="3:12">
      <c r="C35" s="7" t="s">
        <v>5</v>
      </c>
      <c r="D35" s="8">
        <f>D39/D38</f>
        <v>5.3809523809523805</v>
      </c>
      <c r="F35" s="8">
        <f>F39/F38</f>
        <v>5.4082687338501287</v>
      </c>
      <c r="H35" s="8">
        <f>H39/H38</f>
        <v>5.4082687338501287</v>
      </c>
      <c r="J35" s="8">
        <f>J39/J38</f>
        <v>5.4082687338501287</v>
      </c>
      <c r="L35" s="8">
        <f>L39/L38</f>
        <v>5.4082687338501287</v>
      </c>
    </row>
    <row r="36" spans="3:12">
      <c r="C36" s="7" t="s">
        <v>6</v>
      </c>
      <c r="D36" s="74">
        <v>45</v>
      </c>
      <c r="F36" s="74">
        <v>33.4</v>
      </c>
      <c r="H36" s="74">
        <v>33.4</v>
      </c>
      <c r="J36" s="74">
        <v>33.4</v>
      </c>
      <c r="L36" s="74">
        <v>33.4</v>
      </c>
    </row>
    <row r="37" spans="3:12">
      <c r="C37" s="7" t="s">
        <v>7</v>
      </c>
      <c r="D37" s="10">
        <v>3.99</v>
      </c>
      <c r="F37" s="10">
        <v>3.87</v>
      </c>
      <c r="H37" s="10">
        <v>3.87</v>
      </c>
      <c r="J37" s="10">
        <v>3.87</v>
      </c>
      <c r="L37" s="10">
        <v>3.87</v>
      </c>
    </row>
    <row r="38" spans="3:12">
      <c r="C38" s="7" t="s">
        <v>7</v>
      </c>
      <c r="D38" s="40">
        <f>D37</f>
        <v>3.99</v>
      </c>
      <c r="F38" s="40">
        <f>F37</f>
        <v>3.87</v>
      </c>
      <c r="H38" s="40">
        <f>H37</f>
        <v>3.87</v>
      </c>
      <c r="J38" s="40">
        <f>J37</f>
        <v>3.87</v>
      </c>
      <c r="L38" s="40">
        <f>L37</f>
        <v>3.87</v>
      </c>
    </row>
    <row r="39" spans="3:12">
      <c r="C39" s="7" t="s">
        <v>8</v>
      </c>
      <c r="D39" s="27">
        <v>21.47</v>
      </c>
      <c r="F39" s="27">
        <v>20.93</v>
      </c>
      <c r="H39" s="27">
        <v>20.93</v>
      </c>
      <c r="J39" s="27">
        <v>20.93</v>
      </c>
      <c r="L39" s="27">
        <v>20.93</v>
      </c>
    </row>
    <row r="40" spans="3:12">
      <c r="C40" s="7" t="s">
        <v>78</v>
      </c>
      <c r="D40" s="30">
        <f>(D31*8.314/D32*(D36+273.15)*LN(D39/D38)/1000)</f>
        <v>1000.9016969979652</v>
      </c>
      <c r="F40" s="30">
        <f>(F31*8.314/F32*(F36+273.15)*LN(F39/F38)/1000)</f>
        <v>953.52880950530391</v>
      </c>
      <c r="H40" s="30">
        <f>(H31*8.314/H32*(H36+273.15)*LN(H39/H38)/1000)</f>
        <v>953.52880950530391</v>
      </c>
      <c r="J40" s="30">
        <f>(J31*8.314/J32*(J36+273.15)*LN(J39/J38)/1000)</f>
        <v>953.52880950530391</v>
      </c>
      <c r="L40" s="30">
        <f>(L31*8.314/L32*(L36+273.15)*LN(L39/L38)/1000)</f>
        <v>953.52880950530391</v>
      </c>
    </row>
    <row r="41" spans="3:12">
      <c r="C41" s="7" t="s">
        <v>79</v>
      </c>
      <c r="D41" s="30">
        <f>D38*10^5*D28/3600*LN(D39/D38)/1000</f>
        <v>1002.7334314112048</v>
      </c>
      <c r="F41" s="30">
        <f>F38*10^5*F28/3600*LN(F39/F38)/1000</f>
        <v>955.29229582551318</v>
      </c>
      <c r="H41" s="30">
        <f>H38*10^5*H28/3600*LN(H39/H38)/1000</f>
        <v>955.29229582551318</v>
      </c>
      <c r="J41" s="30">
        <f>J38*10^5*J28/3600*LN(J39/J38)/1000</f>
        <v>955.29229582551318</v>
      </c>
      <c r="L41" s="30">
        <f>L38*10^5*L28/3600*LN(L39/L38)/1000</f>
        <v>955.29229582551318</v>
      </c>
    </row>
    <row r="42" spans="3:12">
      <c r="C42" s="7" t="s">
        <v>117</v>
      </c>
      <c r="D42" s="30">
        <f>(D31*8.314/D32*(D36+273.15)*D33/(D33-1)*((D39/D38)^((D33-1)/D33)-1))/1000</f>
        <v>1429.2040413549701</v>
      </c>
      <c r="F42" s="30">
        <f>(F31*8.314/F32*(F36+273.15)*F33/(F33-1)*((F39/F38)^((F33-1)/F33)-1))/1000</f>
        <v>1363.1152797542177</v>
      </c>
      <c r="H42" s="30">
        <f>(H31*8.314/H32*(H36+273.15)*H33/(H33-1)*((H39/H38)^((H33-1)/H33)-1))/1000</f>
        <v>1363.1152797542177</v>
      </c>
      <c r="J42" s="30">
        <f>(J31*8.314/J32*(J36+273.15)*J33/(J33-1)*((J39/J38)^((J33-1)/J33)-1))/1000</f>
        <v>1363.1152797542177</v>
      </c>
      <c r="L42" s="30">
        <f>(L31*8.314/L32*(L36+273.15)*L33/(L33-1)*((L39/L38)^((L33-1)/L33)-1))/1000</f>
        <v>1363.1152797542177</v>
      </c>
    </row>
    <row r="43" spans="3:12">
      <c r="C43" s="7" t="s">
        <v>69</v>
      </c>
      <c r="D43" s="49">
        <v>0.95</v>
      </c>
      <c r="F43" s="49">
        <v>0.95</v>
      </c>
      <c r="H43" s="49">
        <v>0.95</v>
      </c>
      <c r="J43" s="49">
        <v>0.95</v>
      </c>
      <c r="L43" s="49">
        <v>0.95</v>
      </c>
    </row>
    <row r="44" spans="3:12">
      <c r="C44" s="7" t="s">
        <v>131</v>
      </c>
      <c r="D44" s="89">
        <f>D46/(3^0.5*6600*0.91)*1000</f>
        <v>156.22871420029637</v>
      </c>
      <c r="F44" s="91">
        <v>178.9</v>
      </c>
      <c r="H44" s="91">
        <v>178.9</v>
      </c>
      <c r="J44" s="89">
        <f>J46/(3^0.5*6600*0.91)*1000</f>
        <v>189.72887313669528</v>
      </c>
      <c r="L44" s="90">
        <v>180</v>
      </c>
    </row>
    <row r="46" spans="3:12">
      <c r="C46" s="7" t="s">
        <v>10</v>
      </c>
      <c r="D46" s="11">
        <v>1625.2</v>
      </c>
      <c r="F46" s="30">
        <f>3^0.5*6600*0.91*F44/1000</f>
        <v>1861.0425201812773</v>
      </c>
      <c r="H46" s="30">
        <f>3^0.5*6600*0.91*H44/1000</f>
        <v>1861.0425201812773</v>
      </c>
      <c r="J46" s="11">
        <v>1973.6920079008901</v>
      </c>
      <c r="L46" s="30">
        <f>3^0.5*6600*0.91*L44/1000</f>
        <v>1872.485487046562</v>
      </c>
    </row>
    <row r="47" spans="3:12">
      <c r="C47" s="104" t="s">
        <v>9</v>
      </c>
      <c r="D47" s="80">
        <f>D40/D46</f>
        <v>0.61586370723478046</v>
      </c>
      <c r="E47" s="105"/>
      <c r="F47" s="80">
        <f>F40/F46</f>
        <v>0.51236272098308866</v>
      </c>
      <c r="G47" s="105"/>
      <c r="H47" s="80">
        <f>H40/H46</f>
        <v>0.51236272098308866</v>
      </c>
      <c r="I47" s="105"/>
      <c r="J47" s="80">
        <f>J40/J46</f>
        <v>0.48311935483764995</v>
      </c>
      <c r="K47" s="105"/>
      <c r="L47" s="80">
        <f>L40/L46</f>
        <v>0.50923161546596973</v>
      </c>
    </row>
    <row r="48" spans="3:12">
      <c r="C48" s="7" t="s">
        <v>118</v>
      </c>
      <c r="D48" s="64">
        <f>D42/D46</f>
        <v>0.87940194520980186</v>
      </c>
      <c r="F48" s="64">
        <f>F42/F46</f>
        <v>0.73244714452920812</v>
      </c>
      <c r="H48" s="64">
        <f>H42/H46</f>
        <v>0.73244714452920812</v>
      </c>
      <c r="J48" s="64">
        <f>J42/J46</f>
        <v>0.69064234657561996</v>
      </c>
      <c r="L48" s="64">
        <f>L42/L46</f>
        <v>0.72797107864597399</v>
      </c>
    </row>
    <row r="49" spans="2:12">
      <c r="C49" s="7"/>
      <c r="D49" s="64"/>
      <c r="F49" s="64"/>
      <c r="H49" s="64"/>
      <c r="J49" s="64"/>
      <c r="L49" s="64"/>
    </row>
    <row r="50" spans="2:12">
      <c r="C50" s="7" t="s">
        <v>154</v>
      </c>
      <c r="D50" s="64"/>
      <c r="F50" s="64"/>
      <c r="H50" s="64"/>
      <c r="J50" s="64"/>
      <c r="L50" s="64"/>
    </row>
    <row r="51" spans="2:12">
      <c r="C51" s="12" t="s">
        <v>155</v>
      </c>
      <c r="D51" s="74">
        <v>46.6</v>
      </c>
      <c r="E51" s="85"/>
      <c r="F51" s="100">
        <v>46.6</v>
      </c>
      <c r="G51" s="85"/>
      <c r="H51" s="100">
        <f>H52+H59</f>
        <v>47.717393185697659</v>
      </c>
      <c r="I51" s="101"/>
      <c r="J51" s="100">
        <v>46.6</v>
      </c>
      <c r="K51" s="101"/>
      <c r="L51" s="100">
        <v>46.6</v>
      </c>
    </row>
    <row r="52" spans="2:12">
      <c r="C52" s="12" t="s">
        <v>134</v>
      </c>
      <c r="D52" s="74">
        <v>38.9</v>
      </c>
      <c r="E52" s="85"/>
      <c r="F52" s="102">
        <v>38.9</v>
      </c>
      <c r="G52" s="85"/>
      <c r="H52" s="102">
        <v>38.9</v>
      </c>
      <c r="I52" s="101"/>
      <c r="J52" s="100">
        <v>38.9</v>
      </c>
      <c r="K52" s="101"/>
      <c r="L52" s="100">
        <v>38.9</v>
      </c>
    </row>
    <row r="53" spans="2:12">
      <c r="C53" s="12" t="s">
        <v>12</v>
      </c>
      <c r="D53" s="84">
        <f>D64-D51</f>
        <v>3.3999999999999986</v>
      </c>
      <c r="F53" s="9">
        <v>3</v>
      </c>
      <c r="H53" s="9">
        <v>3</v>
      </c>
      <c r="J53" s="9">
        <v>3</v>
      </c>
      <c r="L53" s="9">
        <v>3</v>
      </c>
    </row>
    <row r="54" spans="2:12">
      <c r="C54" s="12" t="s">
        <v>13</v>
      </c>
      <c r="D54" s="9"/>
      <c r="F54" s="9"/>
      <c r="H54" s="9"/>
      <c r="J54" s="9"/>
      <c r="L54" s="9"/>
    </row>
    <row r="56" spans="2:12">
      <c r="C56" s="12" t="s">
        <v>152</v>
      </c>
      <c r="D56" s="74">
        <v>85.432454359326513</v>
      </c>
      <c r="F56" s="78">
        <v>85.606086704115029</v>
      </c>
      <c r="H56" s="78">
        <v>95.38664853259715</v>
      </c>
      <c r="J56" s="78">
        <v>100.62166047098569</v>
      </c>
      <c r="L56" s="78">
        <v>95.272830092513701</v>
      </c>
    </row>
    <row r="57" spans="2:12">
      <c r="C57" s="7" t="s">
        <v>15</v>
      </c>
      <c r="D57" s="13">
        <v>57</v>
      </c>
      <c r="F57" s="13">
        <v>57</v>
      </c>
      <c r="H57" s="13">
        <v>57</v>
      </c>
      <c r="J57" s="13">
        <v>57</v>
      </c>
      <c r="L57" s="13">
        <v>57</v>
      </c>
    </row>
    <row r="58" spans="2:12">
      <c r="H58" s="95"/>
    </row>
    <row r="59" spans="2:12">
      <c r="C59" s="12" t="s">
        <v>16</v>
      </c>
      <c r="D59" s="9">
        <f>D51-D52</f>
        <v>7.7000000000000028</v>
      </c>
      <c r="F59" s="9">
        <f>F51-F52</f>
        <v>7.7000000000000028</v>
      </c>
      <c r="H59" s="109">
        <f>H46/(H60*4.18)*3.6</f>
        <v>8.8173931856976608</v>
      </c>
      <c r="J59" s="9">
        <f>J51-J52</f>
        <v>7.7000000000000028</v>
      </c>
      <c r="L59" s="9">
        <f>L51-L52</f>
        <v>7.7000000000000028</v>
      </c>
    </row>
    <row r="60" spans="2:12">
      <c r="C60" s="7" t="s">
        <v>17</v>
      </c>
      <c r="D60" s="28">
        <f>D46/(D59*4.18)*3.6</f>
        <v>181.77841297458519</v>
      </c>
      <c r="F60" s="28">
        <f>F46/(F59*4.18)*3.6</f>
        <v>208.15736881416132</v>
      </c>
      <c r="H60" s="110">
        <f>D60</f>
        <v>181.77841297458519</v>
      </c>
      <c r="J60" s="28">
        <f>J46/(J59*4.18)*3.6</f>
        <v>220.75719966579268</v>
      </c>
      <c r="L60" s="28">
        <f>L46/(L59*4.18)*3.6</f>
        <v>209.43726320038593</v>
      </c>
    </row>
    <row r="61" spans="2:12">
      <c r="C61" s="12" t="s">
        <v>18</v>
      </c>
      <c r="D61" s="14">
        <f t="shared" ref="D61" si="0">D60-D62</f>
        <v>166.91462628199417</v>
      </c>
      <c r="F61" s="14">
        <f t="shared" ref="F61" si="1">F60-F62</f>
        <v>193.41574867266559</v>
      </c>
      <c r="H61" s="14">
        <f t="shared" ref="H61:J61" si="2">H60-H62</f>
        <v>164.50343589751972</v>
      </c>
      <c r="J61" s="14">
        <f t="shared" si="2"/>
        <v>198.27758002204513</v>
      </c>
      <c r="L61" s="14">
        <f t="shared" ref="L61" si="3">L60-L62</f>
        <v>189.71406481957831</v>
      </c>
    </row>
    <row r="62" spans="2:12">
      <c r="C62" s="12" t="s">
        <v>19</v>
      </c>
      <c r="D62" s="14">
        <f>D31*D34*(D56-D57)/(4.18*D59)*3.6/1000</f>
        <v>14.863786692591027</v>
      </c>
      <c r="F62" s="14">
        <f>F31*F34*(F56-F57)/(4.18*F59)*3.6/1000</f>
        <v>14.741620141495721</v>
      </c>
      <c r="H62" s="14">
        <f>H31*H34*(H56-H57)/(4.18*H59)*3.6/1000</f>
        <v>17.274977077065468</v>
      </c>
      <c r="J62" s="14">
        <f>J31*J34*(J56-J57)/(4.18*J59)*3.6/1000</f>
        <v>22.479619643747569</v>
      </c>
      <c r="L62" s="14">
        <f>L31*L34*(L56-L57)/(4.18*L59)*3.6/1000</f>
        <v>19.723198380807606</v>
      </c>
    </row>
    <row r="64" spans="2:12">
      <c r="B64" s="99"/>
      <c r="C64" s="7" t="s">
        <v>151</v>
      </c>
      <c r="D64" s="9">
        <v>50</v>
      </c>
      <c r="E64" s="85"/>
      <c r="F64" s="9">
        <v>47</v>
      </c>
      <c r="G64" s="85"/>
      <c r="H64" s="9">
        <v>47</v>
      </c>
      <c r="I64" s="82"/>
      <c r="J64" s="9">
        <v>47</v>
      </c>
      <c r="K64" s="82"/>
      <c r="L64" s="9">
        <v>47</v>
      </c>
    </row>
    <row r="65" spans="2:12">
      <c r="B65" s="99"/>
      <c r="C65" s="7" t="s">
        <v>21</v>
      </c>
      <c r="D65" s="86">
        <v>1.95</v>
      </c>
      <c r="E65" s="85"/>
      <c r="F65" s="86">
        <v>1.95</v>
      </c>
      <c r="G65" s="85"/>
      <c r="H65" s="86">
        <v>1.95</v>
      </c>
      <c r="I65" s="82"/>
      <c r="J65" s="86">
        <v>1.95</v>
      </c>
      <c r="K65" s="82"/>
      <c r="L65" s="83">
        <v>2.17</v>
      </c>
    </row>
    <row r="66" spans="2:12">
      <c r="C66" s="7" t="s">
        <v>22</v>
      </c>
      <c r="D66" s="16">
        <v>980</v>
      </c>
      <c r="F66" s="16">
        <v>980</v>
      </c>
      <c r="H66" s="16">
        <v>980</v>
      </c>
      <c r="J66" s="16">
        <v>980</v>
      </c>
      <c r="L66" s="87">
        <v>835</v>
      </c>
    </row>
    <row r="68" spans="2:12">
      <c r="C68" s="7" t="s">
        <v>26</v>
      </c>
      <c r="D68" s="13">
        <f>(273.15+D36)*(D39/D38)^((D33-1)/D33)-273.15</f>
        <v>351.48630345349466</v>
      </c>
      <c r="F68" s="13">
        <f>(273.15+F36)*(F39/F38)^((F33-1)/F33)-273.15</f>
        <v>329.94928277500037</v>
      </c>
      <c r="H68" s="13">
        <f>(273.15+H36)*(H39/H38)^((H33-1)/H33)-273.15</f>
        <v>329.94928277500037</v>
      </c>
      <c r="J68" s="13">
        <f>(273.15+J36)*(J39/J38)^((J33-1)/J33)-273.15</f>
        <v>329.94928277500037</v>
      </c>
      <c r="L68" s="13">
        <f>(273.15+L36)*(L39/L38)^((L33-1)/L33)-273.15</f>
        <v>329.94928277500037</v>
      </c>
    </row>
    <row r="69" spans="2:12">
      <c r="C69" s="7" t="s">
        <v>74</v>
      </c>
      <c r="D69" s="13">
        <f>D68-D56</f>
        <v>266.05384909416813</v>
      </c>
      <c r="F69" s="13">
        <f>F68-F56</f>
        <v>244.34319607088534</v>
      </c>
      <c r="H69" s="13">
        <f>H68-H56</f>
        <v>234.56263424240322</v>
      </c>
      <c r="J69" s="13">
        <f>J68-J56</f>
        <v>229.32762230401468</v>
      </c>
      <c r="L69" s="13">
        <f>L68-L56</f>
        <v>234.67645268248668</v>
      </c>
    </row>
    <row r="70" spans="2:12">
      <c r="C70" s="7" t="s">
        <v>135</v>
      </c>
      <c r="D70" s="92">
        <f>D34*D69*D31/1000/D48</f>
        <v>1414.0401606519895</v>
      </c>
      <c r="E70" s="25"/>
      <c r="F70" s="92">
        <f>F34*F69*F31/1000/F48</f>
        <v>1537.0048283089809</v>
      </c>
      <c r="G70" s="25"/>
      <c r="H70" s="92">
        <f>H34*H69*H31/1000/H48</f>
        <v>1475.4816469980904</v>
      </c>
      <c r="I70" s="25"/>
      <c r="J70" s="92">
        <f>J34*J69*J31/1000/J48</f>
        <v>1529.8696762841578</v>
      </c>
      <c r="K70" s="25"/>
      <c r="L70" s="92">
        <f>L34*L69*L31/1000/L48</f>
        <v>1485.2742812677457</v>
      </c>
    </row>
    <row r="72" spans="2:12">
      <c r="C72" s="7" t="s">
        <v>124</v>
      </c>
      <c r="D72" s="22">
        <f>D70/(D65*(D56-D64))*3600/D66</f>
        <v>75.180000024311525</v>
      </c>
      <c r="F72" s="22">
        <f>F70/(F65*(F56-F64))*3600/F66</f>
        <v>75.000000068383059</v>
      </c>
      <c r="H72" s="96">
        <f>D72</f>
        <v>75.180000024311525</v>
      </c>
      <c r="J72" s="96">
        <f>H72</f>
        <v>75.180000024311525</v>
      </c>
      <c r="L72" s="96">
        <f>H72</f>
        <v>75.180000024311525</v>
      </c>
    </row>
    <row r="73" spans="2:12">
      <c r="C73" s="7" t="s">
        <v>124</v>
      </c>
      <c r="D73" s="77">
        <f>D72*1000/60</f>
        <v>1253.0000004051919</v>
      </c>
      <c r="F73" s="77">
        <f>F72*1000/60</f>
        <v>1250.0000011397176</v>
      </c>
      <c r="H73" s="77">
        <f>H72*1000/60</f>
        <v>1253.0000004051919</v>
      </c>
      <c r="J73" s="77">
        <f>J72*1000/60</f>
        <v>1253.0000004051919</v>
      </c>
      <c r="L73" s="77">
        <f>L72*1000/60</f>
        <v>1253.0000004051919</v>
      </c>
    </row>
    <row r="74" spans="2:12">
      <c r="C74" s="7" t="s">
        <v>147</v>
      </c>
      <c r="D74" s="93">
        <v>0.92255515242259667</v>
      </c>
      <c r="E74" s="106"/>
      <c r="F74" s="93">
        <v>0.92255515242259667</v>
      </c>
      <c r="G74" s="106"/>
      <c r="H74" s="93">
        <v>0.92255515242259667</v>
      </c>
      <c r="I74" s="106"/>
      <c r="J74" s="93">
        <v>0.92255515242259667</v>
      </c>
      <c r="K74" s="106"/>
      <c r="L74" s="93">
        <v>0.92255515242259667</v>
      </c>
    </row>
    <row r="75" spans="2:12">
      <c r="C75" s="7" t="s">
        <v>133</v>
      </c>
      <c r="D75" s="18">
        <f>D74*((D56-D51)-(D64-D52))/LN((D56-D51)/(D64-D52))</f>
        <v>20.43</v>
      </c>
      <c r="F75" s="18">
        <f>F74*((F56-F51)-(F64-F52))/LN((F56-F51)/(F64-F52))</f>
        <v>18.139455719870071</v>
      </c>
      <c r="H75" s="18">
        <f>H74*((H56-H51)-(H64-H52))/LN((H56-H51)/(H64-H52))</f>
        <v>20.596002712665676</v>
      </c>
      <c r="J75" s="18">
        <f>J74*((J56-J51)-(J64-J52))/LN((J56-J51)/(J64-J52))</f>
        <v>22.32663771992646</v>
      </c>
      <c r="L75" s="18">
        <f>L74*((L56-L51)-(L64-L52))/LN((L56-L51)/(L64-L52))</f>
        <v>20.873012260930441</v>
      </c>
    </row>
    <row r="76" spans="2:12">
      <c r="C76" s="7" t="s">
        <v>150</v>
      </c>
      <c r="D76" s="18">
        <f>D70/D75</f>
        <v>69.2139089893289</v>
      </c>
      <c r="F76" s="18">
        <f>F70/F75</f>
        <v>84.732687245149066</v>
      </c>
      <c r="H76" s="94">
        <f>(H31/$D$31)*$D$76</f>
        <v>68.227832146772286</v>
      </c>
      <c r="I76" s="25"/>
      <c r="J76" s="94">
        <f>(J31/$D$31)^0.7*$D$76</f>
        <v>68.522170931276861</v>
      </c>
      <c r="K76" s="25"/>
      <c r="L76" s="94">
        <f>(L31/$D$31)^0.7*$D$76*1.05</f>
        <v>71.948279477840714</v>
      </c>
    </row>
    <row r="77" spans="2:12">
      <c r="C77" s="7" t="s">
        <v>141</v>
      </c>
      <c r="D77" s="18"/>
      <c r="F77" s="103">
        <v>0</v>
      </c>
      <c r="H77" s="108">
        <v>0.05</v>
      </c>
      <c r="I77" s="25"/>
      <c r="J77" s="94"/>
      <c r="K77" s="25"/>
      <c r="L77" s="94"/>
    </row>
    <row r="78" spans="2:12">
      <c r="C78" s="7" t="s">
        <v>148</v>
      </c>
      <c r="D78" s="92">
        <f>D76*D75</f>
        <v>1414.0401606519895</v>
      </c>
      <c r="F78" s="92">
        <f>F76*F75*(1+F77)</f>
        <v>1537.0048283089811</v>
      </c>
      <c r="H78" s="92">
        <f>H76*H75*(1+H77)</f>
        <v>1475.4816467729315</v>
      </c>
      <c r="J78" s="92">
        <f>J76*J75</f>
        <v>1529.8696861654944</v>
      </c>
      <c r="L78" s="92">
        <f>L76*L75</f>
        <v>1501.7773196938192</v>
      </c>
    </row>
    <row r="79" spans="2:12">
      <c r="F79" s="107" t="s">
        <v>149</v>
      </c>
    </row>
    <row r="80" spans="2:12">
      <c r="F80" s="97">
        <f>F70-F78</f>
        <v>0</v>
      </c>
      <c r="H80" s="98">
        <f>H70-H78</f>
        <v>2.2515882847073954E-7</v>
      </c>
      <c r="J80" s="98">
        <f>J70-J78</f>
        <v>-9.881336609396385E-6</v>
      </c>
      <c r="L80" s="98">
        <f>L70-L78</f>
        <v>-16.503038426073545</v>
      </c>
    </row>
    <row r="82" spans="3:12">
      <c r="C82" s="1" t="s">
        <v>137</v>
      </c>
      <c r="H82" s="75">
        <f>H59/(H56-H52)</f>
        <v>0.15609694352125256</v>
      </c>
    </row>
    <row r="83" spans="3:12">
      <c r="C83" s="1" t="s">
        <v>153</v>
      </c>
      <c r="H83" s="75">
        <f>(H56-H64)/H59</f>
        <v>5.4876364832049438</v>
      </c>
    </row>
    <row r="85" spans="3:12">
      <c r="C85" s="43" t="s">
        <v>104</v>
      </c>
      <c r="D85" s="75">
        <f>D30/D88</f>
        <v>987.72227340892164</v>
      </c>
      <c r="F85" s="75">
        <f>F30/F88</f>
        <v>998.52935413433352</v>
      </c>
      <c r="H85" s="75">
        <f>H30/H88</f>
        <v>998.52935413433352</v>
      </c>
      <c r="J85" s="75">
        <f>J30/J88</f>
        <v>998.52935413433352</v>
      </c>
      <c r="L85" s="75">
        <f>L30/L88</f>
        <v>998.52935413433352</v>
      </c>
    </row>
    <row r="86" spans="3:12">
      <c r="C86" s="43" t="s">
        <v>105</v>
      </c>
      <c r="D86" s="63">
        <f>D72/(D85+D110)</f>
        <v>7.6114513207081083E-2</v>
      </c>
      <c r="F86" s="63">
        <f>F72/(F85+F110)</f>
        <v>7.5110460957258152E-2</v>
      </c>
      <c r="H86" s="63">
        <f>H72/(H85+H110)</f>
        <v>7.5290726019254767E-2</v>
      </c>
      <c r="J86" s="63">
        <f>J72/(J85+J110)</f>
        <v>7.5290726019254767E-2</v>
      </c>
      <c r="L86" s="63">
        <f>L72/(L85+L110)</f>
        <v>7.5290726019254767E-2</v>
      </c>
    </row>
    <row r="87" spans="3:12">
      <c r="C87" s="43" t="s">
        <v>119</v>
      </c>
      <c r="D87" s="1">
        <f>[1]!density(D13,"TP","SI with C",D36,D38/10)</f>
        <v>0.60266960229163824</v>
      </c>
      <c r="F87" s="1">
        <f>[1]!density(F13,"TP","SI with C",F36,F38/10)</f>
        <v>0.60665191980491029</v>
      </c>
      <c r="H87" s="1">
        <f>[1]!density(H13,"TP","SI with C",H36,H38/10)</f>
        <v>0.60665191980491029</v>
      </c>
      <c r="J87" s="1">
        <f>[1]!density(J13,"TP","SI with C",J36,J38/10)</f>
        <v>0.60665191980491029</v>
      </c>
      <c r="L87" s="1">
        <f>[1]!density(L13,"TP","SI with C",L36,L38/10)</f>
        <v>0.60665191980491029</v>
      </c>
    </row>
    <row r="88" spans="3:12">
      <c r="C88" s="43" t="s">
        <v>120</v>
      </c>
      <c r="D88" s="1">
        <f>[1]!density(D13,"TP","SI with C",D52,D39/10)</f>
        <v>3.2802743111358654</v>
      </c>
      <c r="F88" s="1">
        <f>[1]!density(F13,"TP","SI with C",F52,F39/10)</f>
        <v>3.1985442881304014</v>
      </c>
      <c r="H88" s="1">
        <f>[1]!density(H13,"TP","SI with C",H52,H39/10)</f>
        <v>3.1985442881304014</v>
      </c>
      <c r="J88" s="1">
        <f>[1]!density(J13,"TP","SI with C",J52,J39/10)</f>
        <v>3.1985442881304014</v>
      </c>
      <c r="L88" s="1">
        <f>[1]!density(L13,"TP","SI with C",L52,L39/10)</f>
        <v>3.1985442881304014</v>
      </c>
    </row>
    <row r="89" spans="3:12">
      <c r="C89" s="43" t="s">
        <v>126</v>
      </c>
      <c r="D89" s="1">
        <f>[1]!density("helium","TP","SI with C",0,1/10)</f>
        <v>0.1761481440000498</v>
      </c>
    </row>
    <row r="91" spans="3:12">
      <c r="C91" s="17" t="s">
        <v>23</v>
      </c>
      <c r="D91" s="18">
        <f>D92/D66*10^6</f>
        <v>9.8688307063932434</v>
      </c>
      <c r="F91" s="18">
        <f>F92/F66*10^6</f>
        <v>9.826005606022763</v>
      </c>
      <c r="H91" s="18">
        <f>H92/H66*10^6</f>
        <v>7.7025928186616852</v>
      </c>
      <c r="J91" s="18">
        <f>J92/J66*10^6</f>
        <v>6.8517761473061558</v>
      </c>
      <c r="L91" s="88">
        <f>L92/L66*10^6</f>
        <v>9.0648355563413379</v>
      </c>
    </row>
    <row r="92" spans="3:12">
      <c r="C92" s="17" t="s">
        <v>24</v>
      </c>
      <c r="D92" s="19">
        <f>[2]!mu_("BREOXB35",D39,D56+273)</f>
        <v>9.6714540922653788E-3</v>
      </c>
      <c r="F92" s="19">
        <f>[2]!mu_("BREOXB35",F39,F56+273)</f>
        <v>9.6294854939023063E-3</v>
      </c>
      <c r="H92" s="19">
        <f>[2]!mu_("BREOXB35",H39,H56+273)</f>
        <v>7.5485409622884506E-3</v>
      </c>
      <c r="J92" s="19">
        <f>[2]!mu_("BREOXB35",J39,J56+273)</f>
        <v>6.7147406243600327E-3</v>
      </c>
      <c r="L92" s="19">
        <f>[2]!mu_("BREOXB35",L39,L56+273)</f>
        <v>7.5691376895450167E-3</v>
      </c>
    </row>
    <row r="95" spans="3:12">
      <c r="D95" s="97">
        <f>D70-D78</f>
        <v>0</v>
      </c>
      <c r="F95" s="95"/>
      <c r="H95" s="95">
        <f>H60*4.18*H59</f>
        <v>6699.7530726525983</v>
      </c>
    </row>
    <row r="96" spans="3:12">
      <c r="D96" s="1">
        <f>D76/429.82</f>
        <v>0.16102998694646339</v>
      </c>
    </row>
    <row r="97" spans="3:10">
      <c r="C97" s="1" t="s">
        <v>136</v>
      </c>
      <c r="D97" s="1">
        <v>0.14510000000000001</v>
      </c>
    </row>
    <row r="98" spans="3:10">
      <c r="D98" s="1">
        <v>0.62909999999999999</v>
      </c>
    </row>
    <row r="99" spans="3:10">
      <c r="D99" s="1">
        <f>1/(1/D97+1/D98)</f>
        <v>0.11790546370446912</v>
      </c>
    </row>
    <row r="100" spans="3:10">
      <c r="C100"/>
    </row>
    <row r="101" spans="3:10">
      <c r="C101"/>
    </row>
    <row r="102" spans="3:10" ht="15">
      <c r="C102" s="65" t="s">
        <v>137</v>
      </c>
      <c r="D102" s="1">
        <f>2895.06*10^3</f>
        <v>2895060</v>
      </c>
      <c r="E102" s="1" t="s">
        <v>142</v>
      </c>
      <c r="H102" s="1">
        <f>H103*H104*H105</f>
        <v>3292958.4749999996</v>
      </c>
      <c r="J102" s="1">
        <f>J103*J104*J105</f>
        <v>3969112.6151999994</v>
      </c>
    </row>
    <row r="103" spans="3:10">
      <c r="C103" s="1" t="s">
        <v>133</v>
      </c>
      <c r="D103" s="1">
        <f>20.43</f>
        <v>20.43</v>
      </c>
      <c r="H103" s="1">
        <f>20.43</f>
        <v>20.43</v>
      </c>
      <c r="J103" s="1">
        <f>20.43</f>
        <v>20.43</v>
      </c>
    </row>
    <row r="104" spans="3:10">
      <c r="C104" s="1" t="s">
        <v>145</v>
      </c>
      <c r="D104" s="1">
        <v>429.82</v>
      </c>
      <c r="E104" s="1" t="s">
        <v>146</v>
      </c>
      <c r="H104" s="1">
        <v>429.82</v>
      </c>
      <c r="J104" s="1">
        <v>429.82</v>
      </c>
    </row>
    <row r="105" spans="3:10">
      <c r="C105" s="1" t="s">
        <v>144</v>
      </c>
      <c r="D105" s="1">
        <f>D102/(D103*D104)</f>
        <v>329.68757676180536</v>
      </c>
      <c r="E105" s="1" t="s">
        <v>143</v>
      </c>
      <c r="H105" s="1">
        <v>375</v>
      </c>
      <c r="J105" s="1">
        <v>452</v>
      </c>
    </row>
    <row r="106" spans="3:10">
      <c r="D106" s="1">
        <f>374/D105</f>
        <v>1.1344073188120454</v>
      </c>
      <c r="H106" s="1">
        <f>1/H105</f>
        <v>2.6666666666666666E-3</v>
      </c>
      <c r="J106" s="1">
        <f>1/J105</f>
        <v>2.2123893805309734E-3</v>
      </c>
    </row>
  </sheetData>
  <pageMargins left="0.7" right="0.7" top="0.75" bottom="0.75" header="0.3" footer="0.3"/>
  <pageSetup paperSize="9" orientation="portrait" r:id="rId1"/>
  <drawing r:id="rId2"/>
  <legacyDrawing r:id="rId3"/>
  <oleObjects>
    <oleObject progId="Equation.3" shapeId="2049" r:id="rId4"/>
    <oleObject progId="Equation.3" shapeId="2050" r:id="rId5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AL153"/>
  <sheetViews>
    <sheetView topLeftCell="B63" zoomScale="85" zoomScaleNormal="85" workbookViewId="0">
      <selection activeCell="H87" sqref="H87"/>
    </sheetView>
  </sheetViews>
  <sheetFormatPr defaultRowHeight="12.75" outlineLevelRow="1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2.85546875" style="1" customWidth="1"/>
    <col min="6" max="6" width="24" style="1" customWidth="1"/>
    <col min="7" max="7" width="3.28515625" style="1" customWidth="1"/>
    <col min="8" max="9" width="24" style="1" customWidth="1"/>
    <col min="10" max="10" width="7.28515625" style="1" customWidth="1"/>
    <col min="11" max="12" width="24" style="1" customWidth="1"/>
    <col min="13" max="13" width="7.28515625" style="1" customWidth="1"/>
    <col min="14" max="15" width="24" style="1" customWidth="1"/>
    <col min="16" max="16" width="7.28515625" style="1" customWidth="1"/>
    <col min="17" max="18" width="24" style="1" customWidth="1"/>
    <col min="19" max="19" width="7.28515625" style="1" customWidth="1"/>
    <col min="20" max="20" width="24" style="1" customWidth="1"/>
    <col min="21" max="21" width="3.28515625" style="1" customWidth="1"/>
    <col min="22" max="22" width="18.5703125" style="1" customWidth="1"/>
    <col min="23" max="16384" width="9.140625" style="1"/>
  </cols>
  <sheetData>
    <row r="1" spans="1:38">
      <c r="C1" s="133" t="s">
        <v>177</v>
      </c>
    </row>
    <row r="2" spans="1:38">
      <c r="A2" s="43" t="s">
        <v>66</v>
      </c>
      <c r="B2" s="20">
        <f>[1]!MolarMass("air")</f>
        <v>28.958600656000002</v>
      </c>
      <c r="C2" s="133" t="s">
        <v>178</v>
      </c>
    </row>
    <row r="3" spans="1:38">
      <c r="A3" s="43"/>
      <c r="B3" s="20"/>
      <c r="C3" s="131" t="s">
        <v>180</v>
      </c>
      <c r="D3" s="132">
        <v>2.63</v>
      </c>
      <c r="T3" s="132">
        <v>2.63</v>
      </c>
    </row>
    <row r="4" spans="1:38">
      <c r="A4" s="43" t="s">
        <v>64</v>
      </c>
      <c r="B4" s="20">
        <f>[1]!density("air","TP","SI with C",0,1/10)</f>
        <v>1.2758162153163073</v>
      </c>
      <c r="C4" s="134" t="s">
        <v>181</v>
      </c>
      <c r="D4" s="135">
        <v>3.65</v>
      </c>
      <c r="T4" s="135">
        <v>3.65</v>
      </c>
    </row>
    <row r="5" spans="1:38">
      <c r="C5" s="131" t="s">
        <v>182</v>
      </c>
      <c r="D5" s="132">
        <v>5.8</v>
      </c>
      <c r="T5" s="132">
        <v>5.8</v>
      </c>
    </row>
    <row r="6" spans="1:38">
      <c r="C6" s="1" t="s">
        <v>178</v>
      </c>
      <c r="D6" s="1">
        <f>D4^1.66</f>
        <v>8.5783972744961066</v>
      </c>
      <c r="T6" s="1">
        <f>T4^1.66</f>
        <v>8.5783972744961066</v>
      </c>
    </row>
    <row r="8" spans="1:38">
      <c r="A8" s="1">
        <f>[1]!MolarMass(C15)</f>
        <v>4.0026020000000004</v>
      </c>
    </row>
    <row r="9" spans="1:38">
      <c r="A9" s="1">
        <f>[1]!MolarMass(C16)</f>
        <v>28.013480000000001</v>
      </c>
    </row>
    <row r="10" spans="1:38">
      <c r="A10" s="1">
        <f>[1]!MolarMass(C17)</f>
        <v>16.0428</v>
      </c>
    </row>
    <row r="11" spans="1:38">
      <c r="A11" s="1">
        <f>[1]!MolarMass(C18)</f>
        <v>39.948</v>
      </c>
      <c r="D11" s="48" t="s">
        <v>121</v>
      </c>
      <c r="F11" s="48" t="s">
        <v>173</v>
      </c>
      <c r="H11" s="48" t="s">
        <v>173</v>
      </c>
      <c r="I11" s="48" t="s">
        <v>173</v>
      </c>
      <c r="K11" s="48" t="s">
        <v>173</v>
      </c>
      <c r="L11" s="48" t="s">
        <v>173</v>
      </c>
      <c r="N11" s="48" t="s">
        <v>173</v>
      </c>
      <c r="O11" s="48" t="s">
        <v>173</v>
      </c>
      <c r="Q11" s="48" t="s">
        <v>173</v>
      </c>
      <c r="R11" s="48" t="s">
        <v>173</v>
      </c>
      <c r="T11" s="48" t="s">
        <v>196</v>
      </c>
      <c r="V11" s="48" t="s">
        <v>127</v>
      </c>
    </row>
    <row r="12" spans="1:38">
      <c r="A12" s="1">
        <f>[1]!MolarMass(C19)</f>
        <v>2.0158800000000001</v>
      </c>
      <c r="F12" s="48" t="s">
        <v>176</v>
      </c>
      <c r="H12" s="48" t="s">
        <v>175</v>
      </c>
      <c r="I12" s="48" t="s">
        <v>175</v>
      </c>
      <c r="K12" s="48" t="s">
        <v>187</v>
      </c>
      <c r="L12" s="48" t="s">
        <v>189</v>
      </c>
      <c r="N12" s="48" t="s">
        <v>191</v>
      </c>
      <c r="O12" s="48" t="s">
        <v>193</v>
      </c>
      <c r="Q12" s="48" t="s">
        <v>188</v>
      </c>
      <c r="R12" s="48" t="s">
        <v>188</v>
      </c>
    </row>
    <row r="13" spans="1:38">
      <c r="A13" s="1">
        <f>[1]!MolarMass(C20)</f>
        <v>28.958600656000002</v>
      </c>
      <c r="C13" s="7" t="s">
        <v>123</v>
      </c>
      <c r="D13" s="144" t="str">
        <f>[1]!FluidString($C$15:$C$22,D15:D22)</f>
        <v>helium;1</v>
      </c>
      <c r="F13" s="144" t="str">
        <f>[1]!FluidString($C$15:$C$22,F15:F22)</f>
        <v>helium;1</v>
      </c>
      <c r="H13" s="144" t="str">
        <f>[1]!FluidString($C$15:$C$22,H15:H22)</f>
        <v>helium;1</v>
      </c>
      <c r="I13" s="144" t="str">
        <f>[1]!FluidString($C$15:$C$22,I15:I22)</f>
        <v>helium;1</v>
      </c>
      <c r="K13" s="31" t="str">
        <f>[1]!FluidString($C$15:$C$22,K15:K22)</f>
        <v>helium;1</v>
      </c>
      <c r="L13" s="31" t="str">
        <f>[1]!FluidString($C$15:$C$22,L15:L22)</f>
        <v>helium;1</v>
      </c>
      <c r="N13" s="31" t="str">
        <f>[1]!FluidString($C$15:$C$22,N15:N22)</f>
        <v>helium;1</v>
      </c>
      <c r="O13" s="31" t="str">
        <f>[1]!FluidString($C$15:$C$22,O15:O22)</f>
        <v>helium;1</v>
      </c>
      <c r="Q13" s="31" t="str">
        <f>[1]!FluidString($C$15:$C$22,Q15:Q22)</f>
        <v>helium;1</v>
      </c>
      <c r="R13" s="31" t="str">
        <f>[1]!FluidString($C$15:$C$22,R15:R22)</f>
        <v>helium;1</v>
      </c>
      <c r="T13" s="144" t="str">
        <f>[1]!FluidString($C$15:$C$22,T15:T22)</f>
        <v>helium;1</v>
      </c>
      <c r="V13" s="31" t="str">
        <f>[1]!FluidString($C$15:$C$22,V15:V22)</f>
        <v>helium;1</v>
      </c>
    </row>
    <row r="14" spans="1:38" hidden="1" outlineLevel="1">
      <c r="A14" s="1">
        <f>[1]!MolarMass(C21)</f>
        <v>28.010100000000001</v>
      </c>
      <c r="C14" s="32" t="s">
        <v>48</v>
      </c>
      <c r="D14" s="32" t="s">
        <v>49</v>
      </c>
      <c r="F14" s="32" t="s">
        <v>49</v>
      </c>
      <c r="H14" s="32" t="s">
        <v>49</v>
      </c>
      <c r="I14" s="32" t="s">
        <v>49</v>
      </c>
      <c r="K14" s="32" t="s">
        <v>49</v>
      </c>
      <c r="L14" s="32" t="s">
        <v>49</v>
      </c>
      <c r="N14" s="32" t="s">
        <v>49</v>
      </c>
      <c r="O14" s="32" t="s">
        <v>49</v>
      </c>
      <c r="Q14" s="32" t="s">
        <v>49</v>
      </c>
      <c r="R14" s="32" t="s">
        <v>49</v>
      </c>
      <c r="T14" s="32" t="s">
        <v>49</v>
      </c>
      <c r="V14" s="32" t="s">
        <v>49</v>
      </c>
    </row>
    <row r="15" spans="1:38" hidden="1" outlineLevel="1">
      <c r="A15" s="1">
        <f>[1]!MolarMass(C22)</f>
        <v>31.998799999999999</v>
      </c>
      <c r="C15" s="33" t="s">
        <v>54</v>
      </c>
      <c r="D15" s="41">
        <v>1</v>
      </c>
      <c r="F15" s="41">
        <v>1</v>
      </c>
      <c r="H15" s="41">
        <v>1</v>
      </c>
      <c r="I15" s="41">
        <v>1</v>
      </c>
      <c r="K15" s="41">
        <v>1</v>
      </c>
      <c r="L15" s="41">
        <v>1</v>
      </c>
      <c r="N15" s="41">
        <v>1</v>
      </c>
      <c r="O15" s="41">
        <v>1</v>
      </c>
      <c r="Q15" s="41">
        <v>1</v>
      </c>
      <c r="R15" s="41">
        <v>1</v>
      </c>
      <c r="T15" s="41">
        <v>1</v>
      </c>
      <c r="V15" s="41">
        <v>1</v>
      </c>
      <c r="AL15" s="1" t="s">
        <v>115</v>
      </c>
    </row>
    <row r="16" spans="1:38" hidden="1" outlineLevel="1">
      <c r="C16" s="33" t="s">
        <v>50</v>
      </c>
      <c r="D16" s="41">
        <v>0</v>
      </c>
      <c r="F16" s="41">
        <v>0</v>
      </c>
      <c r="H16" s="41">
        <v>0</v>
      </c>
      <c r="I16" s="41">
        <v>0</v>
      </c>
      <c r="K16" s="41">
        <v>0</v>
      </c>
      <c r="L16" s="41">
        <v>0</v>
      </c>
      <c r="N16" s="41">
        <v>0</v>
      </c>
      <c r="O16" s="41">
        <v>0</v>
      </c>
      <c r="Q16" s="41">
        <v>0</v>
      </c>
      <c r="R16" s="41">
        <v>0</v>
      </c>
      <c r="T16" s="41">
        <v>0</v>
      </c>
      <c r="V16" s="41">
        <v>0</v>
      </c>
    </row>
    <row r="17" spans="3:38" hidden="1" outlineLevel="1">
      <c r="C17" s="33" t="s">
        <v>55</v>
      </c>
      <c r="D17" s="41">
        <v>0</v>
      </c>
      <c r="F17" s="41">
        <v>0</v>
      </c>
      <c r="H17" s="41">
        <v>0</v>
      </c>
      <c r="I17" s="41">
        <v>0</v>
      </c>
      <c r="K17" s="41">
        <v>0</v>
      </c>
      <c r="L17" s="41">
        <v>0</v>
      </c>
      <c r="N17" s="41">
        <v>0</v>
      </c>
      <c r="O17" s="41">
        <v>0</v>
      </c>
      <c r="Q17" s="41">
        <v>0</v>
      </c>
      <c r="R17" s="41">
        <v>0</v>
      </c>
      <c r="T17" s="41">
        <v>0</v>
      </c>
      <c r="V17" s="41">
        <v>0</v>
      </c>
    </row>
    <row r="18" spans="3:38" hidden="1" outlineLevel="1">
      <c r="C18" s="33" t="s">
        <v>51</v>
      </c>
      <c r="D18" s="41">
        <v>0</v>
      </c>
      <c r="F18" s="41">
        <v>0</v>
      </c>
      <c r="H18" s="41">
        <v>0</v>
      </c>
      <c r="I18" s="41">
        <v>0</v>
      </c>
      <c r="K18" s="41">
        <v>0</v>
      </c>
      <c r="L18" s="41">
        <v>0</v>
      </c>
      <c r="N18" s="41">
        <v>0</v>
      </c>
      <c r="O18" s="41">
        <v>0</v>
      </c>
      <c r="Q18" s="41">
        <v>0</v>
      </c>
      <c r="R18" s="41">
        <v>0</v>
      </c>
      <c r="T18" s="41">
        <v>0</v>
      </c>
      <c r="V18" s="41">
        <v>0</v>
      </c>
    </row>
    <row r="19" spans="3:38" hidden="1" outlineLevel="1">
      <c r="C19" s="33" t="s">
        <v>56</v>
      </c>
      <c r="D19" s="41">
        <v>0</v>
      </c>
      <c r="F19" s="41">
        <v>0</v>
      </c>
      <c r="H19" s="41">
        <v>0</v>
      </c>
      <c r="I19" s="41">
        <v>0</v>
      </c>
      <c r="K19" s="41">
        <v>0</v>
      </c>
      <c r="L19" s="41">
        <v>0</v>
      </c>
      <c r="N19" s="41">
        <v>0</v>
      </c>
      <c r="O19" s="41">
        <v>0</v>
      </c>
      <c r="Q19" s="41">
        <v>0</v>
      </c>
      <c r="R19" s="41">
        <v>0</v>
      </c>
      <c r="T19" s="41">
        <v>0</v>
      </c>
      <c r="V19" s="41">
        <v>0</v>
      </c>
    </row>
    <row r="20" spans="3:38" hidden="1" outlineLevel="1">
      <c r="C20" s="33" t="s">
        <v>82</v>
      </c>
      <c r="D20" s="41">
        <v>0</v>
      </c>
      <c r="F20" s="41">
        <v>0</v>
      </c>
      <c r="H20" s="41">
        <v>0</v>
      </c>
      <c r="I20" s="41">
        <v>0</v>
      </c>
      <c r="K20" s="41">
        <v>0</v>
      </c>
      <c r="L20" s="41">
        <v>0</v>
      </c>
      <c r="N20" s="41">
        <v>0</v>
      </c>
      <c r="O20" s="41">
        <v>0</v>
      </c>
      <c r="Q20" s="41">
        <v>0</v>
      </c>
      <c r="R20" s="41">
        <v>0</v>
      </c>
      <c r="T20" s="41">
        <v>0</v>
      </c>
      <c r="V20" s="41">
        <v>0</v>
      </c>
    </row>
    <row r="21" spans="3:38" hidden="1" outlineLevel="1">
      <c r="C21" s="33" t="s">
        <v>57</v>
      </c>
      <c r="D21" s="41">
        <v>0</v>
      </c>
      <c r="F21" s="41">
        <v>0</v>
      </c>
      <c r="H21" s="41">
        <v>0</v>
      </c>
      <c r="I21" s="41">
        <v>0</v>
      </c>
      <c r="K21" s="41">
        <v>0</v>
      </c>
      <c r="L21" s="41">
        <v>0</v>
      </c>
      <c r="N21" s="41">
        <v>0</v>
      </c>
      <c r="O21" s="41">
        <v>0</v>
      </c>
      <c r="Q21" s="41">
        <v>0</v>
      </c>
      <c r="R21" s="41">
        <v>0</v>
      </c>
      <c r="T21" s="41">
        <v>0</v>
      </c>
      <c r="V21" s="41">
        <v>0</v>
      </c>
    </row>
    <row r="22" spans="3:38" hidden="1" outlineLevel="1">
      <c r="C22" s="33" t="s">
        <v>52</v>
      </c>
      <c r="D22" s="41">
        <v>0</v>
      </c>
      <c r="F22" s="41">
        <v>0</v>
      </c>
      <c r="H22" s="41">
        <v>0</v>
      </c>
      <c r="I22" s="41">
        <v>0</v>
      </c>
      <c r="K22" s="41">
        <v>0</v>
      </c>
      <c r="L22" s="41">
        <v>0</v>
      </c>
      <c r="N22" s="41">
        <v>0</v>
      </c>
      <c r="O22" s="41">
        <v>0</v>
      </c>
      <c r="Q22" s="41">
        <v>0</v>
      </c>
      <c r="R22" s="41">
        <v>0</v>
      </c>
      <c r="T22" s="41">
        <v>0</v>
      </c>
      <c r="V22" s="41">
        <v>0</v>
      </c>
    </row>
    <row r="23" spans="3:38" hidden="1" outlineLevel="1">
      <c r="C23" s="34" t="s">
        <v>53</v>
      </c>
      <c r="D23" s="35">
        <f>SUM(D15:D22)</f>
        <v>1</v>
      </c>
      <c r="F23" s="35">
        <f>SUM(F15:F22)</f>
        <v>1</v>
      </c>
      <c r="H23" s="35">
        <f>SUM(H15:H22)</f>
        <v>1</v>
      </c>
      <c r="I23" s="35">
        <f>SUM(I15:I22)</f>
        <v>1</v>
      </c>
      <c r="K23" s="35">
        <f>SUM(K15:K22)</f>
        <v>1</v>
      </c>
      <c r="L23" s="35">
        <f>SUM(L15:L22)</f>
        <v>1</v>
      </c>
      <c r="N23" s="35">
        <f>SUM(N15:N22)</f>
        <v>1</v>
      </c>
      <c r="O23" s="35">
        <f>SUM(O15:O22)</f>
        <v>1</v>
      </c>
      <c r="Q23" s="35">
        <f>SUM(Q15:Q22)</f>
        <v>1</v>
      </c>
      <c r="R23" s="35">
        <f>SUM(R15:R22)</f>
        <v>1</v>
      </c>
      <c r="T23" s="35">
        <f>SUM(T15:T22)</f>
        <v>1</v>
      </c>
      <c r="V23" s="35">
        <f>SUM(V15:V22)</f>
        <v>1</v>
      </c>
    </row>
    <row r="24" spans="3:38" collapsed="1">
      <c r="D24" s="6"/>
      <c r="F24" s="6"/>
      <c r="H24" s="6"/>
      <c r="I24" s="6"/>
      <c r="K24" s="6"/>
      <c r="L24" s="6"/>
      <c r="N24" s="6"/>
      <c r="O24" s="6"/>
      <c r="Q24" s="6"/>
      <c r="R24" s="6"/>
      <c r="T24" s="6"/>
      <c r="V24" s="6"/>
      <c r="AL24" s="1" t="s">
        <v>132</v>
      </c>
    </row>
    <row r="25" spans="3:38">
      <c r="C25" s="7" t="s">
        <v>125</v>
      </c>
      <c r="D25" s="37">
        <v>6540</v>
      </c>
      <c r="F25" s="37">
        <v>6540</v>
      </c>
      <c r="H25" s="37">
        <v>6540</v>
      </c>
      <c r="I25" s="37">
        <v>6540</v>
      </c>
      <c r="K25" s="37">
        <v>6540</v>
      </c>
      <c r="L25" s="37">
        <v>6540</v>
      </c>
      <c r="N25" s="37">
        <v>6540</v>
      </c>
      <c r="O25" s="37">
        <v>6540</v>
      </c>
      <c r="Q25" s="37">
        <v>6540</v>
      </c>
      <c r="R25" s="37">
        <v>6540</v>
      </c>
      <c r="T25" s="37">
        <v>6540</v>
      </c>
      <c r="V25" s="37">
        <v>6540</v>
      </c>
    </row>
    <row r="27" spans="3:38">
      <c r="C27" s="7" t="s">
        <v>114</v>
      </c>
      <c r="D27" s="45">
        <v>0.82203058218450165</v>
      </c>
      <c r="F27" s="45">
        <v>0.82203058218450165</v>
      </c>
      <c r="H27" s="45">
        <v>0.82203058218450165</v>
      </c>
      <c r="I27" s="45">
        <v>0.82203058218450165</v>
      </c>
      <c r="K27" s="45">
        <v>0.82203058218450165</v>
      </c>
      <c r="L27" s="45">
        <v>0.82203058218450165</v>
      </c>
      <c r="N27" s="45">
        <v>0.82203058218450165</v>
      </c>
      <c r="O27" s="45">
        <v>0.82203058218450165</v>
      </c>
      <c r="Q27" s="45">
        <v>0.82203058218450165</v>
      </c>
      <c r="R27" s="45">
        <v>0.82203058218450165</v>
      </c>
      <c r="T27" s="45">
        <v>0.82203058218450165</v>
      </c>
      <c r="V27" s="45">
        <v>0.80500000000000005</v>
      </c>
    </row>
    <row r="28" spans="3:38">
      <c r="C28" s="7" t="s">
        <v>68</v>
      </c>
      <c r="D28" s="46">
        <f>D25*D27</f>
        <v>5376.0800074866411</v>
      </c>
      <c r="F28" s="46">
        <f>F25*F27</f>
        <v>5376.0800074866411</v>
      </c>
      <c r="H28" s="46">
        <f>H25*H27</f>
        <v>5376.0800074866411</v>
      </c>
      <c r="I28" s="46">
        <f>I25*I27</f>
        <v>5376.0800074866411</v>
      </c>
      <c r="K28" s="46">
        <f>K25*K27</f>
        <v>5376.0800074866411</v>
      </c>
      <c r="L28" s="46">
        <f>L25*L27</f>
        <v>5376.0800074866411</v>
      </c>
      <c r="N28" s="46">
        <f>N25*N27</f>
        <v>5376.0800074866411</v>
      </c>
      <c r="O28" s="46">
        <f>O25*O27</f>
        <v>5376.0800074866411</v>
      </c>
      <c r="Q28" s="46">
        <f>Q25*Q27</f>
        <v>5376.0800074866411</v>
      </c>
      <c r="R28" s="46">
        <f>R25*R27</f>
        <v>5376.0800074866411</v>
      </c>
      <c r="T28" s="46">
        <f>T25*T27</f>
        <v>5376.0800074866411</v>
      </c>
      <c r="V28" s="46">
        <f>V25*V27</f>
        <v>5264.7000000000007</v>
      </c>
    </row>
    <row r="29" spans="3:38">
      <c r="C29" s="7" t="s">
        <v>128</v>
      </c>
      <c r="D29" s="56">
        <f>D28*D38*273.15/(273.15+D36)</f>
        <v>18416.53387911191</v>
      </c>
      <c r="F29" s="56">
        <f>F28*F38*273.15/(273.15+F36)</f>
        <v>18538.584580505816</v>
      </c>
      <c r="H29" s="56">
        <f>H28*H38*273.15/(273.15+H36)</f>
        <v>18538.584580505816</v>
      </c>
      <c r="I29" s="56">
        <f>I28*I38*273.15/(273.15+I36)</f>
        <v>18538.584580505816</v>
      </c>
      <c r="K29" s="56">
        <f>K28*K38*273.15/(273.15+K36)</f>
        <v>14605.186111139892</v>
      </c>
      <c r="L29" s="56">
        <f>L28*L38*273.15/(273.15+L36)</f>
        <v>14556.663898146073</v>
      </c>
      <c r="N29" s="56">
        <f>N28*N38*273.15/(273.15+N36)</f>
        <v>19320.765514383238</v>
      </c>
      <c r="O29" s="56">
        <f>O28*O38*273.15/(273.15+O36)</f>
        <v>19320.765514383238</v>
      </c>
      <c r="Q29" s="56">
        <f>Q28*Q38*273.15/(273.15+Q36)</f>
        <v>14520.231347582667</v>
      </c>
      <c r="R29" s="56">
        <f>R28*R38*273.15/(273.15+R36)</f>
        <v>14473.087739311297</v>
      </c>
      <c r="T29" s="56">
        <f>T28*T38*273.15/(273.15+T36)</f>
        <v>4846.4562839768187</v>
      </c>
      <c r="V29" s="56">
        <f>V28*V38*273.15/(273.15+V36)</f>
        <v>18154.507764964936</v>
      </c>
    </row>
    <row r="30" spans="3:38">
      <c r="C30" s="7" t="s">
        <v>129</v>
      </c>
      <c r="D30" s="81">
        <f>D31*3.6</f>
        <v>3240.0000000000014</v>
      </c>
      <c r="F30" s="81">
        <f>F31*3.6</f>
        <v>3261.4092575665672</v>
      </c>
      <c r="H30" s="81">
        <f>H31*3.6</f>
        <v>3261.4092575665672</v>
      </c>
      <c r="I30" s="81">
        <f>I31*3.6</f>
        <v>3261.4092575665672</v>
      </c>
      <c r="K30" s="81">
        <f>K31*3.6</f>
        <v>2570.3946417775478</v>
      </c>
      <c r="L30" s="81">
        <f>L31*3.6</f>
        <v>2561.867141475163</v>
      </c>
      <c r="N30" s="81">
        <f>N31*3.6</f>
        <v>3398.7420167118835</v>
      </c>
      <c r="O30" s="81">
        <f>O31*3.6</f>
        <v>3398.7420167118835</v>
      </c>
      <c r="Q30" s="81">
        <f>Q31*3.6</f>
        <v>2555.4758225045803</v>
      </c>
      <c r="R30" s="81">
        <f>R31*3.6</f>
        <v>2547.190394328507</v>
      </c>
      <c r="T30" s="81">
        <f>T31*3.6</f>
        <v>853.7449569363788</v>
      </c>
      <c r="V30" s="81">
        <f>V31*3.6</f>
        <v>3193.8403621969114</v>
      </c>
    </row>
    <row r="31" spans="3:38">
      <c r="C31" s="7" t="s">
        <v>130</v>
      </c>
      <c r="D31" s="47">
        <f>D28*D98*1000/3600</f>
        <v>900.00000000000034</v>
      </c>
      <c r="F31" s="47">
        <f>F28*F98*1000/3600</f>
        <v>905.94701599071311</v>
      </c>
      <c r="H31" s="47">
        <f>H28*H98*1000/3600</f>
        <v>905.94701599071311</v>
      </c>
      <c r="I31" s="47">
        <f>I28*I98*1000/3600</f>
        <v>905.94701599071311</v>
      </c>
      <c r="K31" s="47">
        <f>K28*K98*1000/3600</f>
        <v>713.99851160487435</v>
      </c>
      <c r="L31" s="47">
        <f>L28*L98*1000/3600</f>
        <v>711.62976152087856</v>
      </c>
      <c r="N31" s="47">
        <f>N28*N98*1000/3600</f>
        <v>944.09500464218979</v>
      </c>
      <c r="O31" s="47">
        <f>O28*O98*1000/3600</f>
        <v>944.09500464218979</v>
      </c>
      <c r="Q31" s="47">
        <f>Q28*Q98*1000/3600</f>
        <v>709.85439514016116</v>
      </c>
      <c r="R31" s="47">
        <f>R28*R98*1000/3600</f>
        <v>707.55288731347412</v>
      </c>
      <c r="T31" s="47">
        <f>T28*T98*1000/3600</f>
        <v>237.15137692677189</v>
      </c>
      <c r="V31" s="47">
        <f>V28*V98*1000/3600</f>
        <v>887.17787838803099</v>
      </c>
    </row>
    <row r="32" spans="3:38">
      <c r="C32" s="7" t="s">
        <v>2</v>
      </c>
      <c r="D32" s="42">
        <f>[1]!MolarMass(D13)</f>
        <v>4.0026020000000004</v>
      </c>
      <c r="F32" s="42">
        <f>[1]!MolarMass(F13)</f>
        <v>4.0026020000000004</v>
      </c>
      <c r="H32" s="42">
        <f>[1]!MolarMass(H13)</f>
        <v>4.0026020000000004</v>
      </c>
      <c r="I32" s="42">
        <f>[1]!MolarMass(I13)</f>
        <v>4.0026020000000004</v>
      </c>
      <c r="K32" s="42">
        <f>[1]!MolarMass(K13)</f>
        <v>4.0026020000000004</v>
      </c>
      <c r="L32" s="42">
        <f>[1]!MolarMass(L13)</f>
        <v>4.0026020000000004</v>
      </c>
      <c r="N32" s="42">
        <f>[1]!MolarMass(N13)</f>
        <v>4.0026020000000004</v>
      </c>
      <c r="O32" s="42">
        <f>[1]!MolarMass(O13)</f>
        <v>4.0026020000000004</v>
      </c>
      <c r="Q32" s="42">
        <f>[1]!MolarMass(Q13)</f>
        <v>4.0026020000000004</v>
      </c>
      <c r="R32" s="42">
        <f>[1]!MolarMass(R13)</f>
        <v>4.0026020000000004</v>
      </c>
      <c r="T32" s="42">
        <f>[1]!MolarMass(T13)</f>
        <v>4.0026020000000004</v>
      </c>
      <c r="V32" s="42">
        <f>[1]!MolarMass(V13)</f>
        <v>4.0026020000000004</v>
      </c>
    </row>
    <row r="33" spans="1:22">
      <c r="C33" s="7" t="s">
        <v>3</v>
      </c>
      <c r="D33" s="39">
        <f>[1]!Isentropicexpansioncoef(D13,"TP","SI with C",D36,D38/10)</f>
        <v>1.6691470208522363</v>
      </c>
      <c r="F33" s="39">
        <f>[1]!Isentropicexpansioncoef(F13,"TP","SI with C",F36,F38/10)</f>
        <v>1.6691872738573212</v>
      </c>
      <c r="H33" s="39">
        <f>[1]!Isentropicexpansioncoef(H13,"TP","SI with C",H36,H38/10)</f>
        <v>1.6691872738573212</v>
      </c>
      <c r="I33" s="39">
        <f>[1]!Isentropicexpansioncoef(I13,"TP","SI with C",I36,I38/10)</f>
        <v>1.6691872738573212</v>
      </c>
      <c r="K33" s="39">
        <f>[1]!Isentropicexpansioncoef(K13,"TP","SI with C",K36,K38/10)</f>
        <v>1.6686594857205566</v>
      </c>
      <c r="L33" s="39">
        <f>[1]!Isentropicexpansioncoef(L13,"TP","SI with C",L36,L38/10)</f>
        <v>1.6686528715130986</v>
      </c>
      <c r="N33" s="39">
        <f>[1]!Isentropicexpansioncoef(N13,"TP","SI with C",N36,N38/10)</f>
        <v>1.6693091443942485</v>
      </c>
      <c r="O33" s="39">
        <f>[1]!Isentropicexpansioncoef(O13,"TP","SI with C",O36,O38/10)</f>
        <v>1.6693091443942485</v>
      </c>
      <c r="Q33" s="39">
        <f>[1]!Isentropicexpansioncoef(Q13,"TP","SI with C",Q36,Q38/10)</f>
        <v>1.6686334120267403</v>
      </c>
      <c r="R33" s="39">
        <f>[1]!Isentropicexpansioncoef(R13,"TP","SI with C",R36,R38/10)</f>
        <v>1.6686270327181452</v>
      </c>
      <c r="T33" s="39">
        <f>[1]!Isentropicexpansioncoef(T13,"TP","SI with C",T36,T38/10)</f>
        <v>1.6673199910656009</v>
      </c>
      <c r="V33" s="39">
        <f>[1]!Isentropicexpansioncoef(V13,"TP","SI with C",V36,V38/10)</f>
        <v>1.6691872738573212</v>
      </c>
    </row>
    <row r="34" spans="1:22">
      <c r="C34" s="7" t="s">
        <v>4</v>
      </c>
      <c r="D34" s="38">
        <f>[1]!IsobaricHeatCapacity(D13,"TP","SI with C",D36,D38/10)</f>
        <v>5.1932246553174162</v>
      </c>
      <c r="F34" s="38">
        <f>[1]!IsobaricHeatCapacity(F13,"TP","SI with C",F36,F38/10)</f>
        <v>5.1932659967043273</v>
      </c>
      <c r="H34" s="38">
        <f>[1]!IsobaricHeatCapacity(H13,"TP","SI with C",H36,H38/10)</f>
        <v>5.1932659967043273</v>
      </c>
      <c r="I34" s="38">
        <f>[1]!IsobaricHeatCapacity(I13,"TP","SI with C",I36,I38/10)</f>
        <v>5.1932659967043273</v>
      </c>
      <c r="K34" s="38">
        <f>[1]!IsobaricHeatCapacity(K13,"TP","SI with C",K36,K38/10)</f>
        <v>5.1932565174375798</v>
      </c>
      <c r="L34" s="38">
        <f>[1]!IsobaricHeatCapacity(L13,"TP","SI with C",L36,L38/10)</f>
        <v>5.1932562211480189</v>
      </c>
      <c r="N34" s="38">
        <f>[1]!IsobaricHeatCapacity(N13,"TP","SI with C",N36,N38/10)</f>
        <v>5.1932978395155605</v>
      </c>
      <c r="O34" s="38">
        <f>[1]!IsobaricHeatCapacity(O13,"TP","SI with C",O36,O38/10)</f>
        <v>5.1932978395155605</v>
      </c>
      <c r="Q34" s="38">
        <f>[1]!IsobaricHeatCapacity(Q13,"TP","SI with C",Q36,Q38/10)</f>
        <v>5.1932306606139607</v>
      </c>
      <c r="R34" s="38">
        <f>[1]!IsobaricHeatCapacity(R13,"TP","SI with C",R36,R38/10)</f>
        <v>5.1932304546794166</v>
      </c>
      <c r="T34" s="38">
        <f>[1]!IsobaricHeatCapacity(T13,"TP","SI with C",T36,T38/10)</f>
        <v>5.1931821595525189</v>
      </c>
      <c r="V34" s="38">
        <f>[1]!IsobaricHeatCapacity(V13,"TP","SI with C",V36,V38/10)</f>
        <v>5.1932659967043273</v>
      </c>
    </row>
    <row r="35" spans="1:22">
      <c r="C35" s="7" t="s">
        <v>5</v>
      </c>
      <c r="D35" s="8">
        <f>D39/D38</f>
        <v>5.3809523809523805</v>
      </c>
      <c r="F35" s="8">
        <f>F39/F38</f>
        <v>5.4082687338501287</v>
      </c>
      <c r="H35" s="8">
        <f>H39/H38</f>
        <v>5.4082687338501287</v>
      </c>
      <c r="I35" s="8">
        <f>I39/I38</f>
        <v>5.4082687338501287</v>
      </c>
      <c r="K35" s="8">
        <f>K39/K38</f>
        <v>6.3654485049833891</v>
      </c>
      <c r="L35" s="8">
        <f>L39/L38</f>
        <v>6.3933333333333335</v>
      </c>
      <c r="N35" s="8">
        <f>N39/N38</f>
        <v>5.3654822335025383</v>
      </c>
      <c r="O35" s="8">
        <f>O39/O38</f>
        <v>5.375634517766497</v>
      </c>
      <c r="Q35" s="8">
        <f>Q39/Q38</f>
        <v>6.7207792207792201</v>
      </c>
      <c r="R35" s="8">
        <f>R39/R38</f>
        <v>6.7557003257328985</v>
      </c>
      <c r="T35" s="8">
        <f>T39/T38</f>
        <v>20.447619047619046</v>
      </c>
      <c r="V35" s="8">
        <f>V39/V38</f>
        <v>5.4082687338501287</v>
      </c>
    </row>
    <row r="36" spans="1:22">
      <c r="C36" s="7" t="s">
        <v>6</v>
      </c>
      <c r="D36" s="74">
        <v>45</v>
      </c>
      <c r="F36" s="74">
        <v>33.4</v>
      </c>
      <c r="H36" s="74">
        <v>33.4</v>
      </c>
      <c r="I36" s="74">
        <v>33.4</v>
      </c>
      <c r="K36" s="74">
        <v>29.49</v>
      </c>
      <c r="L36" s="74">
        <v>29.49</v>
      </c>
      <c r="N36" s="74">
        <v>26.31</v>
      </c>
      <c r="O36" s="74">
        <v>26.31</v>
      </c>
      <c r="Q36" s="74">
        <v>38.340000000000003</v>
      </c>
      <c r="R36" s="74">
        <v>38.340000000000003</v>
      </c>
      <c r="T36" s="74">
        <v>45</v>
      </c>
      <c r="V36" s="74">
        <v>33.4</v>
      </c>
    </row>
    <row r="37" spans="1:22">
      <c r="C37" s="7" t="s">
        <v>7</v>
      </c>
      <c r="D37" s="10">
        <v>3.99</v>
      </c>
      <c r="F37" s="10">
        <v>3.87</v>
      </c>
      <c r="H37" s="10">
        <v>3.87</v>
      </c>
      <c r="I37" s="10">
        <v>3.87</v>
      </c>
      <c r="K37" s="10">
        <v>3.01</v>
      </c>
      <c r="L37" s="10">
        <v>3</v>
      </c>
      <c r="N37" s="10">
        <v>3.94</v>
      </c>
      <c r="O37" s="10">
        <v>3.94</v>
      </c>
      <c r="Q37" s="10">
        <v>3.08</v>
      </c>
      <c r="R37" s="10">
        <v>3.07</v>
      </c>
      <c r="T37" s="10">
        <v>1.05</v>
      </c>
      <c r="V37" s="10">
        <v>3.87</v>
      </c>
    </row>
    <row r="38" spans="1:22">
      <c r="C38" s="7" t="s">
        <v>7</v>
      </c>
      <c r="D38" s="40">
        <f>D37</f>
        <v>3.99</v>
      </c>
      <c r="F38" s="40">
        <f>F37</f>
        <v>3.87</v>
      </c>
      <c r="H38" s="40">
        <f>H37</f>
        <v>3.87</v>
      </c>
      <c r="I38" s="40">
        <f>I37</f>
        <v>3.87</v>
      </c>
      <c r="K38" s="40">
        <f>K37</f>
        <v>3.01</v>
      </c>
      <c r="L38" s="40">
        <f>L37</f>
        <v>3</v>
      </c>
      <c r="N38" s="40">
        <f>N37</f>
        <v>3.94</v>
      </c>
      <c r="O38" s="40">
        <f>O37</f>
        <v>3.94</v>
      </c>
      <c r="Q38" s="40">
        <f>Q37</f>
        <v>3.08</v>
      </c>
      <c r="R38" s="40">
        <f>R37</f>
        <v>3.07</v>
      </c>
      <c r="T38" s="40">
        <f>T37</f>
        <v>1.05</v>
      </c>
      <c r="V38" s="40">
        <f>V37</f>
        <v>3.87</v>
      </c>
    </row>
    <row r="39" spans="1:22">
      <c r="C39" s="7" t="s">
        <v>8</v>
      </c>
      <c r="D39" s="27">
        <v>21.47</v>
      </c>
      <c r="F39" s="27">
        <v>20.93</v>
      </c>
      <c r="H39" s="27">
        <v>20.93</v>
      </c>
      <c r="I39" s="27">
        <v>20.93</v>
      </c>
      <c r="K39" s="27">
        <v>19.16</v>
      </c>
      <c r="L39" s="27">
        <v>19.18</v>
      </c>
      <c r="N39" s="27">
        <v>21.14</v>
      </c>
      <c r="O39" s="27">
        <v>21.18</v>
      </c>
      <c r="Q39" s="27">
        <v>20.7</v>
      </c>
      <c r="R39" s="27">
        <v>20.74</v>
      </c>
      <c r="T39" s="27">
        <v>21.47</v>
      </c>
      <c r="V39" s="27">
        <v>20.93</v>
      </c>
    </row>
    <row r="40" spans="1:22">
      <c r="A40" s="130">
        <f>3.99/1.05</f>
        <v>3.8</v>
      </c>
      <c r="C40" s="7" t="s">
        <v>179</v>
      </c>
      <c r="D40" s="130">
        <f>D39/D38</f>
        <v>5.3809523809523805</v>
      </c>
      <c r="F40" s="130">
        <f>F39/F38</f>
        <v>5.4082687338501287</v>
      </c>
      <c r="H40" s="130">
        <f>H39/H38</f>
        <v>5.4082687338501287</v>
      </c>
      <c r="I40" s="130">
        <f>I39/I38</f>
        <v>5.4082687338501287</v>
      </c>
      <c r="K40" s="130">
        <f>K39/K38</f>
        <v>6.3654485049833891</v>
      </c>
      <c r="L40" s="130">
        <f>L39/L38</f>
        <v>6.3933333333333335</v>
      </c>
      <c r="N40" s="130">
        <f>N39/N38</f>
        <v>5.3654822335025383</v>
      </c>
      <c r="O40" s="130">
        <f>O39/O38</f>
        <v>5.375634517766497</v>
      </c>
      <c r="Q40" s="130">
        <f>Q39/Q38</f>
        <v>6.7207792207792201</v>
      </c>
      <c r="R40" s="130">
        <f>R39/R38</f>
        <v>6.7557003257328985</v>
      </c>
      <c r="T40" s="130">
        <f>T39/T38</f>
        <v>20.447619047619046</v>
      </c>
      <c r="V40" s="40"/>
    </row>
    <row r="41" spans="1:22">
      <c r="A41" s="130">
        <f>A40^(1/D33)</f>
        <v>2.2251188997191442</v>
      </c>
      <c r="C41" s="7" t="s">
        <v>183</v>
      </c>
      <c r="D41" s="130">
        <f>D40^(1/D33)</f>
        <v>2.7407148616482195</v>
      </c>
      <c r="F41" s="130">
        <f>F40^(1/F33)</f>
        <v>2.748974883096114</v>
      </c>
      <c r="H41" s="130">
        <f>H40^(1/H33)</f>
        <v>2.748974883096114</v>
      </c>
      <c r="I41" s="130">
        <f>I40^(1/I33)</f>
        <v>2.748974883096114</v>
      </c>
      <c r="K41" s="130">
        <f>K40^(1/K33)</f>
        <v>3.0319456734503571</v>
      </c>
      <c r="L41" s="130">
        <f>L40^(1/L33)</f>
        <v>3.0399117245107972</v>
      </c>
      <c r="N41" s="130">
        <f>N40^(1/N33)</f>
        <v>2.7357240251428494</v>
      </c>
      <c r="O41" s="130">
        <f>O40^(1/O33)</f>
        <v>2.7388237696169027</v>
      </c>
      <c r="Q41" s="130">
        <f>Q40^(1/Q33)</f>
        <v>3.132323662879076</v>
      </c>
      <c r="R41" s="130">
        <f>R40^(1/R33)</f>
        <v>3.1420810906193841</v>
      </c>
      <c r="T41" s="130">
        <f>T40^(1/T33)</f>
        <v>6.1105107018215827</v>
      </c>
      <c r="V41" s="130"/>
    </row>
    <row r="42" spans="1:22">
      <c r="C42" s="7" t="s">
        <v>184</v>
      </c>
      <c r="D42" s="130">
        <f>D3</f>
        <v>2.63</v>
      </c>
      <c r="F42" s="130">
        <f>$D$42</f>
        <v>2.63</v>
      </c>
      <c r="H42" s="130">
        <f>$D$42</f>
        <v>2.63</v>
      </c>
      <c r="I42" s="130">
        <f>$D$42</f>
        <v>2.63</v>
      </c>
      <c r="K42" s="130">
        <f>$D$42</f>
        <v>2.63</v>
      </c>
      <c r="L42" s="130">
        <f>$D$42</f>
        <v>2.63</v>
      </c>
      <c r="N42" s="130">
        <f>$D$42</f>
        <v>2.63</v>
      </c>
      <c r="O42" s="130">
        <f>$D$42</f>
        <v>2.63</v>
      </c>
      <c r="Q42" s="130">
        <f>$D$42</f>
        <v>2.63</v>
      </c>
      <c r="R42" s="130">
        <f>$D$42</f>
        <v>2.63</v>
      </c>
      <c r="T42" s="130">
        <f>T3</f>
        <v>2.63</v>
      </c>
      <c r="V42" s="130">
        <v>3.65</v>
      </c>
    </row>
    <row r="43" spans="1:22">
      <c r="C43" s="7" t="s">
        <v>185</v>
      </c>
      <c r="D43" s="130">
        <f>D42^D33</f>
        <v>5.0230544562044717</v>
      </c>
      <c r="F43" s="130">
        <f>F42^F33</f>
        <v>5.0232499774098542</v>
      </c>
      <c r="H43" s="130">
        <f>H42^H33</f>
        <v>5.0232499774098542</v>
      </c>
      <c r="I43" s="130">
        <f>I42^I33</f>
        <v>5.0232499774098542</v>
      </c>
      <c r="K43" s="130">
        <f>K42^K33</f>
        <v>5.0206869525702116</v>
      </c>
      <c r="L43" s="130">
        <f>L42^L33</f>
        <v>5.0206548412037977</v>
      </c>
      <c r="N43" s="130">
        <f>N42^N33</f>
        <v>5.023841986431421</v>
      </c>
      <c r="O43" s="130">
        <f>O42^O33</f>
        <v>5.023841986431421</v>
      </c>
      <c r="Q43" s="130">
        <f>Q42^Q33</f>
        <v>5.0205603683854978</v>
      </c>
      <c r="R43" s="130">
        <f>R42^R33</f>
        <v>5.0205293982087085</v>
      </c>
      <c r="T43" s="130">
        <f>T42^T33</f>
        <v>5.0141880187651182</v>
      </c>
      <c r="V43" s="130">
        <f>V42^V33</f>
        <v>8.6810467200197134</v>
      </c>
    </row>
    <row r="44" spans="1:22">
      <c r="C44" s="7" t="s">
        <v>186</v>
      </c>
      <c r="D44" s="136">
        <f>D43/D40</f>
        <v>0.93348799628578683</v>
      </c>
      <c r="E44" s="43"/>
      <c r="F44" s="136">
        <f>F43/F40</f>
        <v>0.92880924092575912</v>
      </c>
      <c r="G44" s="43"/>
      <c r="H44" s="136">
        <f>H43/H40</f>
        <v>0.92880924092575912</v>
      </c>
      <c r="I44" s="136">
        <f>I43/I40</f>
        <v>0.92880924092575912</v>
      </c>
      <c r="J44" s="43"/>
      <c r="K44" s="136">
        <f>K43/K40</f>
        <v>0.788740486807742</v>
      </c>
      <c r="L44" s="136">
        <f>L43/L40</f>
        <v>0.78529533491196002</v>
      </c>
      <c r="M44" s="43"/>
      <c r="N44" s="136">
        <f>N43/N40</f>
        <v>0.93632627372468302</v>
      </c>
      <c r="O44" s="136">
        <f>O43/O40</f>
        <v>0.93455795215013227</v>
      </c>
      <c r="P44" s="43"/>
      <c r="Q44" s="136">
        <f>Q43/Q40</f>
        <v>0.74702057655204512</v>
      </c>
      <c r="R44" s="136">
        <f>R43/R40</f>
        <v>0.74315454447930263</v>
      </c>
      <c r="S44" s="43"/>
      <c r="T44" s="136">
        <f>T43/T40</f>
        <v>0.24522111875656147</v>
      </c>
      <c r="V44" s="130">
        <f>V43^V34</f>
        <v>74860.812910996756</v>
      </c>
    </row>
    <row r="45" spans="1:22">
      <c r="C45" s="7" t="s">
        <v>78</v>
      </c>
      <c r="D45" s="30">
        <f>(D31*8.314/D32*(D36+273.15)*LN(D39/D38)/1000)</f>
        <v>1000.9016969979652</v>
      </c>
      <c r="F45" s="30">
        <f>(F31*8.314/F32*(F36+273.15)*LN(F39/F38)/1000)</f>
        <v>973.70166758675737</v>
      </c>
      <c r="H45" s="30">
        <f>(H31*8.314/H32*(H36+273.15)*LN(H39/H38)/1000)</f>
        <v>973.70166758675737</v>
      </c>
      <c r="I45" s="30">
        <f>(I31*8.314/I32*(I36+273.15)*LN(I39/I38)/1000)</f>
        <v>973.70166758675737</v>
      </c>
      <c r="K45" s="30">
        <f>(K31*8.314/K32*(K36+273.15)*LN(K39/K38)/1000)</f>
        <v>830.75049902362457</v>
      </c>
      <c r="L45" s="30">
        <f>(L31*8.314/L32*(L36+273.15)*LN(L39/L38)/1000)</f>
        <v>829.94982288643541</v>
      </c>
      <c r="N45" s="30">
        <f>(N31*8.314/N32*(N36+273.15)*LN(N39/N38)/1000)</f>
        <v>986.5699000996442</v>
      </c>
      <c r="O45" s="30">
        <f>(O31*8.314/O32*(O36+273.15)*LN(O39/O38)/1000)</f>
        <v>987.68001156824323</v>
      </c>
      <c r="Q45" s="30">
        <f>(Q31*8.314/Q32*(Q36+273.15)*LN(Q39/Q38)/1000)</f>
        <v>875.029117200065</v>
      </c>
      <c r="R45" s="30">
        <f>(R31*8.314/R32*(R36+273.15)*LN(R39/R38)/1000)</f>
        <v>874.56461339217435</v>
      </c>
      <c r="T45" s="30">
        <f>(T31*8.314/T32*(T36+273.15)*LN(T39/T38)/1000)</f>
        <v>472.96086526794943</v>
      </c>
      <c r="V45" s="30">
        <f>(V31*8.314/V32*(V36+273.15)*LN(V39/V38)/1000)</f>
        <v>953.52880950530391</v>
      </c>
    </row>
    <row r="46" spans="1:22">
      <c r="C46" s="7" t="s">
        <v>79</v>
      </c>
      <c r="D46" s="30">
        <f>D38*10^5*D28/3600*LN(D39/D38)/1000</f>
        <v>1002.7334314112048</v>
      </c>
      <c r="F46" s="30">
        <f>F38*10^5*F28/3600*LN(F39/F38)/1000</f>
        <v>975.50246222834244</v>
      </c>
      <c r="H46" s="30">
        <f>H38*10^5*H28/3600*LN(H39/H38)/1000</f>
        <v>975.50246222834244</v>
      </c>
      <c r="I46" s="30">
        <f>I38*10^5*I28/3600*LN(I39/I38)/1000</f>
        <v>975.50246222834244</v>
      </c>
      <c r="K46" s="30">
        <f>K38*10^5*K28/3600*LN(K39/K38)/1000</f>
        <v>831.97271214434011</v>
      </c>
      <c r="L46" s="30">
        <f>L38*10^5*L28/3600*LN(L39/L38)/1000</f>
        <v>831.16695932199923</v>
      </c>
      <c r="N46" s="30">
        <f>N38*10^5*N28/3600*LN(N39/N38)/1000</f>
        <v>988.47382465263127</v>
      </c>
      <c r="O46" s="30">
        <f>O38*10^5*O28/3600*LN(O39/O38)/1000</f>
        <v>989.58607846155655</v>
      </c>
      <c r="Q46" s="30">
        <f>Q38*10^5*Q28/3600*LN(Q39/Q38)/1000</f>
        <v>876.30531790994667</v>
      </c>
      <c r="R46" s="30">
        <f>R38*10^5*R28/3600*LN(R39/R38)/1000</f>
        <v>875.83615791652551</v>
      </c>
      <c r="T46" s="30">
        <f>T38*10^5*T28/3600*LN(T39/T38)/1000</f>
        <v>473.20850135005361</v>
      </c>
      <c r="V46" s="30">
        <f>V38*10^5*V28/3600*LN(V39/V38)/1000</f>
        <v>955.29229582551318</v>
      </c>
    </row>
    <row r="47" spans="1:22">
      <c r="C47" s="7" t="s">
        <v>117</v>
      </c>
      <c r="D47" s="30">
        <f>(D31*8.314/D32*(D36+273.15)*D33/(D33-1)*((D39/D38)^((D33-1)/D33)-1))/1000</f>
        <v>1429.2040413549701</v>
      </c>
      <c r="F47" s="30">
        <f>(F31*8.314/F32*(F36+273.15)*F33/(F33-1)*((F39/F38)^((F33-1)/F33)-1))/1000</f>
        <v>1391.9533503117384</v>
      </c>
      <c r="H47" s="30">
        <f>(H31*8.314/H32*(H36+273.15)*H33/(H33-1)*((H39/H38)^((H33-1)/H33)-1))/1000</f>
        <v>1391.9533503117384</v>
      </c>
      <c r="I47" s="30">
        <f>(I31*8.314/I32*(I36+273.15)*I33/(I33-1)*((I39/I38)^((I33-1)/I33)-1))/1000</f>
        <v>1391.9533503117384</v>
      </c>
      <c r="K47" s="30">
        <f>(K31*8.314/K32*(K36+273.15)*K33/(K33-1)*((K39/K38)^((K33-1)/K33)-1))/1000</f>
        <v>1231.4970378070932</v>
      </c>
      <c r="L47" s="30">
        <f>(L31*8.314/L32*(L36+273.15)*L33/(L33-1)*((L39/L38)^((L33-1)/L33)-1))/1000</f>
        <v>1231.5172952359972</v>
      </c>
      <c r="N47" s="30">
        <f>(N31*8.314/N32*(N36+273.15)*N33/(N33-1)*((N39/N38)^((N33-1)/N33)-1))/1000</f>
        <v>1407.9125522512838</v>
      </c>
      <c r="O47" s="30">
        <f>(O31*8.314/O32*(O36+273.15)*O33/(O33-1)*((O39/O38)^((O33-1)/O33)-1))/1000</f>
        <v>1410.0906013265262</v>
      </c>
      <c r="Q47" s="30">
        <f>(Q31*8.314/Q32*(Q36+273.15)*Q33/(Q33-1)*((Q39/Q38)^((Q33-1)/Q33)-1))/1000</f>
        <v>1313.0909189751737</v>
      </c>
      <c r="R47" s="30">
        <f>(R31*8.314/R32*(R36+273.15)*R33/(R33-1)*((R39/R38)^((R33-1)/R33)-1))/1000</f>
        <v>1313.9261995074235</v>
      </c>
      <c r="T47" s="30">
        <f>(T31*8.314/T32*(T36+273.15)*T33/(T33-1)*((T39/T38)^((T33-1)/T33)-1))/1000</f>
        <v>918.74305779194026</v>
      </c>
      <c r="V47" s="30">
        <f>(V31*8.314/V32*(V36+273.15)*V33/(V33-1)*((V39/V38)^((V33-1)/V33)-1))/1000</f>
        <v>1363.1152797542177</v>
      </c>
    </row>
    <row r="48" spans="1:22">
      <c r="A48" s="1">
        <f>38.3</f>
        <v>38.299999999999997</v>
      </c>
      <c r="C48" s="7" t="s">
        <v>69</v>
      </c>
      <c r="D48" s="49">
        <v>0.95</v>
      </c>
      <c r="F48" s="49">
        <v>0.95</v>
      </c>
      <c r="H48" s="49">
        <v>0.95</v>
      </c>
      <c r="I48" s="49">
        <v>0.95</v>
      </c>
      <c r="K48" s="49">
        <v>0.95</v>
      </c>
      <c r="L48" s="49">
        <v>0.95</v>
      </c>
      <c r="N48" s="49">
        <v>0.95</v>
      </c>
      <c r="O48" s="49">
        <v>0.95</v>
      </c>
      <c r="Q48" s="49">
        <v>0.95</v>
      </c>
      <c r="R48" s="49">
        <v>0.95</v>
      </c>
      <c r="T48" s="49">
        <v>0.95</v>
      </c>
      <c r="V48" s="49">
        <v>0.95</v>
      </c>
    </row>
    <row r="49" spans="1:22">
      <c r="A49" s="1">
        <v>35.86</v>
      </c>
      <c r="C49" s="7" t="s">
        <v>131</v>
      </c>
      <c r="D49" s="89">
        <f>D51/(3^0.5*6600*0.91)*1000</f>
        <v>156.22871420029637</v>
      </c>
      <c r="F49" s="91">
        <v>178.9</v>
      </c>
      <c r="H49" s="91">
        <v>178.9</v>
      </c>
      <c r="I49" s="91">
        <v>178.9</v>
      </c>
      <c r="K49" s="91">
        <v>164.3</v>
      </c>
      <c r="L49" s="91">
        <v>164.5</v>
      </c>
      <c r="N49" s="91">
        <v>178.1</v>
      </c>
      <c r="O49" s="91">
        <v>181.2</v>
      </c>
      <c r="Q49" s="91">
        <v>170.7</v>
      </c>
      <c r="R49" s="91">
        <v>180.2</v>
      </c>
      <c r="T49" s="89">
        <f>T51/(3^0.5*6600*0.91)*1000</f>
        <v>156.22871420029637</v>
      </c>
      <c r="V49" s="90">
        <v>180</v>
      </c>
    </row>
    <row r="50" spans="1:22">
      <c r="A50" s="1">
        <f>A48-A49</f>
        <v>2.4399999999999977</v>
      </c>
    </row>
    <row r="51" spans="1:22">
      <c r="C51" s="7" t="s">
        <v>10</v>
      </c>
      <c r="D51" s="11">
        <v>1625.2</v>
      </c>
      <c r="F51" s="30">
        <f>3^0.5*6600*0.91*F49/1000</f>
        <v>1861.0425201812773</v>
      </c>
      <c r="H51" s="30">
        <f>3^0.5*6600*0.91*H49/1000</f>
        <v>1861.0425201812773</v>
      </c>
      <c r="I51" s="30">
        <f>3^0.5*6600*0.91*I49/1000</f>
        <v>1861.0425201812773</v>
      </c>
      <c r="K51" s="30">
        <f>3^0.5*6600*0.91*K49/1000</f>
        <v>1709.1631417875005</v>
      </c>
      <c r="L51" s="30">
        <f>3^0.5*6600*0.91*L49/1000</f>
        <v>1711.2436812175524</v>
      </c>
      <c r="N51" s="30">
        <f>3^0.5*6600*0.91*N49/1000</f>
        <v>1852.7203624610704</v>
      </c>
      <c r="O51" s="30">
        <f>3^0.5*6600*0.91*O49/1000</f>
        <v>1884.9687236268721</v>
      </c>
      <c r="Q51" s="30">
        <f>3^0.5*6600*0.91*Q49/1000</f>
        <v>1775.7404035491559</v>
      </c>
      <c r="R51" s="30">
        <f>3^0.5*6600*0.91*R49/1000</f>
        <v>1874.5660264766134</v>
      </c>
      <c r="T51" s="11">
        <v>1625.2</v>
      </c>
      <c r="V51" s="30">
        <f>3^0.5*6600*0.91*V49/1000</f>
        <v>1872.485487046562</v>
      </c>
    </row>
    <row r="52" spans="1:22">
      <c r="C52" s="104" t="s">
        <v>9</v>
      </c>
      <c r="D52" s="80">
        <f>D45/D51</f>
        <v>0.61586370723478046</v>
      </c>
      <c r="E52" s="105"/>
      <c r="F52" s="80">
        <f>F45/F51</f>
        <v>0.5232022680985885</v>
      </c>
      <c r="G52" s="105"/>
      <c r="H52" s="80">
        <f>H45/H51</f>
        <v>0.5232022680985885</v>
      </c>
      <c r="I52" s="80">
        <f>I45/I51</f>
        <v>0.5232022680985885</v>
      </c>
      <c r="K52" s="80">
        <f>K45/K51</f>
        <v>0.48605687702509054</v>
      </c>
      <c r="L52" s="80">
        <f>L45/L51</f>
        <v>0.48499803505245082</v>
      </c>
      <c r="N52" s="80">
        <f>N45/N51</f>
        <v>0.53249800676294679</v>
      </c>
      <c r="O52" s="80">
        <f>O45/O51</f>
        <v>0.5239768698484536</v>
      </c>
      <c r="Q52" s="80">
        <f>Q45/Q51</f>
        <v>0.49276860257904387</v>
      </c>
      <c r="R52" s="80">
        <f>R45/R51</f>
        <v>0.46654244291196495</v>
      </c>
      <c r="T52" s="80">
        <f>T45/T51</f>
        <v>0.29101702268517687</v>
      </c>
      <c r="U52" s="105"/>
      <c r="V52" s="80">
        <f>V45/V51</f>
        <v>0.50923161546596973</v>
      </c>
    </row>
    <row r="53" spans="1:22">
      <c r="C53" s="7" t="s">
        <v>118</v>
      </c>
      <c r="D53" s="64">
        <f>D47/D51</f>
        <v>0.87940194520980186</v>
      </c>
      <c r="F53" s="64">
        <f>F47/F51</f>
        <v>0.74794279830648547</v>
      </c>
      <c r="H53" s="64">
        <f>H47/H51</f>
        <v>0.74794279830648547</v>
      </c>
      <c r="I53" s="64">
        <f>I47/I51</f>
        <v>0.74794279830648547</v>
      </c>
      <c r="K53" s="64">
        <f>K47/K51</f>
        <v>0.72052632525128757</v>
      </c>
      <c r="L53" s="64">
        <f>L47/L51</f>
        <v>0.71966214324296041</v>
      </c>
      <c r="N53" s="64">
        <f>N47/N51</f>
        <v>0.75991638067877454</v>
      </c>
      <c r="O53" s="64">
        <f>O47/O51</f>
        <v>0.74807108661907562</v>
      </c>
      <c r="Q53" s="64">
        <f>Q47/Q51</f>
        <v>0.7394610813330097</v>
      </c>
      <c r="R53" s="64">
        <f>R47/R51</f>
        <v>0.70092287011999554</v>
      </c>
      <c r="T53" s="64">
        <f>T47/T51</f>
        <v>0.56531076654684975</v>
      </c>
      <c r="V53" s="64">
        <f>V47/V51</f>
        <v>0.72797107864597399</v>
      </c>
    </row>
    <row r="54" spans="1:22">
      <c r="C54" s="7"/>
      <c r="D54" s="64"/>
      <c r="F54" s="64"/>
      <c r="H54" s="64"/>
      <c r="I54" s="64"/>
      <c r="K54" s="64"/>
      <c r="L54" s="64"/>
      <c r="N54" s="64"/>
      <c r="O54" s="64"/>
      <c r="Q54" s="64"/>
      <c r="R54" s="64"/>
      <c r="T54" s="64"/>
      <c r="V54" s="64"/>
    </row>
    <row r="55" spans="1:22">
      <c r="C55" s="12" t="s">
        <v>152</v>
      </c>
      <c r="D55" s="74">
        <v>85.8</v>
      </c>
      <c r="F55" s="142">
        <v>91.700829241261445</v>
      </c>
      <c r="H55" s="142">
        <v>88.432677178030232</v>
      </c>
      <c r="I55" s="142">
        <v>88.432677178030232</v>
      </c>
      <c r="K55" s="142">
        <v>81.25</v>
      </c>
      <c r="L55" s="142">
        <v>82.24</v>
      </c>
      <c r="N55" s="142">
        <v>88.6</v>
      </c>
      <c r="O55" s="142">
        <v>89.17</v>
      </c>
      <c r="Q55" s="142">
        <v>88.76</v>
      </c>
      <c r="R55" s="142">
        <v>87.43</v>
      </c>
      <c r="T55" s="74">
        <v>85.8</v>
      </c>
      <c r="V55" s="78">
        <v>95.272830092513701</v>
      </c>
    </row>
    <row r="56" spans="1:22">
      <c r="C56" s="7" t="s">
        <v>15</v>
      </c>
      <c r="D56" s="74">
        <v>45</v>
      </c>
      <c r="F56" s="100">
        <f>F64</f>
        <v>43.99386391170345</v>
      </c>
      <c r="H56" s="119">
        <v>37.5</v>
      </c>
      <c r="I56" s="119">
        <v>37.5</v>
      </c>
      <c r="K56" s="119">
        <v>33</v>
      </c>
      <c r="L56" s="119">
        <v>33</v>
      </c>
      <c r="N56" s="119">
        <v>29.66</v>
      </c>
      <c r="O56" s="119">
        <v>29.66</v>
      </c>
      <c r="Q56" s="119">
        <v>42</v>
      </c>
      <c r="R56" s="119">
        <v>42</v>
      </c>
      <c r="T56" s="74">
        <v>45</v>
      </c>
      <c r="V56" s="13">
        <v>57</v>
      </c>
    </row>
    <row r="57" spans="1:22">
      <c r="C57" s="12" t="s">
        <v>174</v>
      </c>
      <c r="D57" s="119">
        <f>D56-D60</f>
        <v>7</v>
      </c>
      <c r="F57" s="129">
        <v>8.3051805004970802</v>
      </c>
      <c r="H57" s="129">
        <v>2.9165377080773007</v>
      </c>
      <c r="I57" s="129">
        <v>2.9165377080773007</v>
      </c>
      <c r="K57" s="129">
        <v>3</v>
      </c>
      <c r="L57" s="129">
        <v>3</v>
      </c>
      <c r="N57" s="138">
        <f>N56-N60</f>
        <v>3.34</v>
      </c>
      <c r="O57" s="138">
        <f>O56-O60</f>
        <v>3.34</v>
      </c>
      <c r="Q57" s="138">
        <f>Q56-Q60</f>
        <v>2</v>
      </c>
      <c r="R57" s="138">
        <f>R56-R60</f>
        <v>2</v>
      </c>
      <c r="T57" s="119">
        <f>T56-T60</f>
        <v>7</v>
      </c>
    </row>
    <row r="58" spans="1:22">
      <c r="V58" s="64"/>
    </row>
    <row r="59" spans="1:22">
      <c r="C59" s="7" t="s">
        <v>157</v>
      </c>
      <c r="D59" s="64"/>
      <c r="F59" s="64"/>
      <c r="H59" s="64"/>
      <c r="I59" s="64"/>
      <c r="K59" s="64"/>
      <c r="L59" s="64"/>
      <c r="N59" s="64"/>
      <c r="O59" s="64"/>
      <c r="Q59" s="64"/>
      <c r="R59" s="64"/>
      <c r="T59" s="64"/>
      <c r="U59" s="101"/>
      <c r="V59" s="100">
        <v>46.6</v>
      </c>
    </row>
    <row r="60" spans="1:22">
      <c r="C60" s="113" t="s">
        <v>155</v>
      </c>
      <c r="D60" s="74">
        <v>38</v>
      </c>
      <c r="E60" s="85"/>
      <c r="F60" s="111">
        <f>F56-F57</f>
        <v>35.68868341120637</v>
      </c>
      <c r="G60" s="101"/>
      <c r="H60" s="111">
        <f>H56-H57</f>
        <v>34.5834622919227</v>
      </c>
      <c r="I60" s="111">
        <f>I56-I57</f>
        <v>34.5834622919227</v>
      </c>
      <c r="K60" s="111">
        <f>K56-K57</f>
        <v>30</v>
      </c>
      <c r="L60" s="111">
        <f>L56-L57</f>
        <v>30</v>
      </c>
      <c r="N60" s="119">
        <v>26.32</v>
      </c>
      <c r="O60" s="119">
        <f>N60</f>
        <v>26.32</v>
      </c>
      <c r="Q60" s="119">
        <v>40</v>
      </c>
      <c r="R60" s="119">
        <v>40</v>
      </c>
      <c r="T60" s="74">
        <v>38</v>
      </c>
      <c r="U60" s="101"/>
      <c r="V60" s="100">
        <v>38.9</v>
      </c>
    </row>
    <row r="61" spans="1:22">
      <c r="C61" s="113" t="s">
        <v>156</v>
      </c>
      <c r="D61" s="74">
        <v>39</v>
      </c>
      <c r="E61" s="85"/>
      <c r="F61" s="100">
        <f>F66/(F62*4.18)*3.6+F60</f>
        <v>36.853193590099806</v>
      </c>
      <c r="G61" s="101"/>
      <c r="H61" s="100">
        <f>H66/(H62*4.18)*3.6+H60</f>
        <v>35.826710958074216</v>
      </c>
      <c r="I61" s="100">
        <f>I66/(I62*4.18)*3.6+I60</f>
        <v>35.826710958074216</v>
      </c>
      <c r="K61" s="100">
        <f>K66/(K62*4.18)*3.6+K60</f>
        <v>30.928223437078096</v>
      </c>
      <c r="L61" s="100">
        <f>L66/(L62*4.18)*3.6+L60</f>
        <v>30.944126152697386</v>
      </c>
      <c r="N61" s="100">
        <f>N66/(N62*4.18)*3.6+N60</f>
        <v>27.819295345017622</v>
      </c>
      <c r="O61" s="100">
        <f>O66/(O62*4.18)*3.6+O60</f>
        <v>27.83379480797419</v>
      </c>
      <c r="Q61" s="100">
        <f>Q66/(Q62*4.18)*3.6+Q60</f>
        <v>40.894333546749039</v>
      </c>
      <c r="R61" s="100">
        <f>R66/(R62*4.18)*3.6+R60</f>
        <v>40.866078725327121</v>
      </c>
      <c r="T61" s="74">
        <v>39</v>
      </c>
      <c r="U61" s="101"/>
      <c r="V61" s="100"/>
    </row>
    <row r="62" spans="1:22">
      <c r="C62" s="114" t="s">
        <v>163</v>
      </c>
      <c r="D62" s="116">
        <f>166000/1000</f>
        <v>166</v>
      </c>
      <c r="E62" s="85"/>
      <c r="F62" s="117">
        <f>$D$62</f>
        <v>166</v>
      </c>
      <c r="G62" s="101"/>
      <c r="H62" s="117">
        <f>$D$62</f>
        <v>166</v>
      </c>
      <c r="I62" s="117">
        <f>$D$62</f>
        <v>166</v>
      </c>
      <c r="K62" s="117">
        <f>$D$62</f>
        <v>166</v>
      </c>
      <c r="L62" s="117">
        <f>$D$62</f>
        <v>166</v>
      </c>
      <c r="N62" s="117">
        <f>$D$62</f>
        <v>166</v>
      </c>
      <c r="O62" s="117">
        <f>$D$62</f>
        <v>166</v>
      </c>
      <c r="Q62" s="117">
        <f>$D$62</f>
        <v>166</v>
      </c>
      <c r="R62" s="117">
        <f>$D$62</f>
        <v>166</v>
      </c>
      <c r="T62" s="116">
        <f>166000/1000</f>
        <v>166</v>
      </c>
      <c r="U62" s="101"/>
      <c r="V62" s="100"/>
    </row>
    <row r="63" spans="1:22">
      <c r="C63" s="114" t="s">
        <v>169</v>
      </c>
      <c r="D63" s="111">
        <f>D55</f>
        <v>85.8</v>
      </c>
      <c r="E63" s="85"/>
      <c r="F63" s="111">
        <f>F55</f>
        <v>91.700829241261445</v>
      </c>
      <c r="G63" s="101"/>
      <c r="H63" s="111">
        <f>H55</f>
        <v>88.432677178030232</v>
      </c>
      <c r="I63" s="111">
        <f>I55</f>
        <v>88.432677178030232</v>
      </c>
      <c r="K63" s="111">
        <f>K55</f>
        <v>81.25</v>
      </c>
      <c r="L63" s="111">
        <f>L55</f>
        <v>82.24</v>
      </c>
      <c r="N63" s="111">
        <f>N55</f>
        <v>88.6</v>
      </c>
      <c r="O63" s="111">
        <f>O55</f>
        <v>89.17</v>
      </c>
      <c r="Q63" s="111">
        <f>Q55</f>
        <v>88.76</v>
      </c>
      <c r="R63" s="111">
        <f>R55</f>
        <v>87.43</v>
      </c>
      <c r="T63" s="111">
        <f>T55</f>
        <v>85.8</v>
      </c>
      <c r="U63" s="101"/>
      <c r="V63" s="100"/>
    </row>
    <row r="64" spans="1:22">
      <c r="C64" s="114" t="s">
        <v>170</v>
      </c>
      <c r="D64" s="111">
        <f>D56</f>
        <v>45</v>
      </c>
      <c r="E64" s="85"/>
      <c r="F64" s="111">
        <v>43.99386391170345</v>
      </c>
      <c r="G64" s="101"/>
      <c r="H64" s="111">
        <f>H56</f>
        <v>37.5</v>
      </c>
      <c r="I64" s="111">
        <f>I56</f>
        <v>37.5</v>
      </c>
      <c r="K64" s="111">
        <f>K56</f>
        <v>33</v>
      </c>
      <c r="L64" s="111">
        <f>L56</f>
        <v>33</v>
      </c>
      <c r="N64" s="111">
        <f>N56</f>
        <v>29.66</v>
      </c>
      <c r="O64" s="111">
        <f>O56</f>
        <v>29.66</v>
      </c>
      <c r="Q64" s="111">
        <f>Q56</f>
        <v>42</v>
      </c>
      <c r="R64" s="111">
        <f>R56</f>
        <v>42</v>
      </c>
      <c r="T64" s="111">
        <f>T56</f>
        <v>45</v>
      </c>
      <c r="U64" s="101"/>
      <c r="V64" s="100"/>
    </row>
    <row r="65" spans="3:22">
      <c r="C65" s="112" t="s">
        <v>133</v>
      </c>
      <c r="D65" s="100">
        <f>((D64-D60)-(D63-D61))/LN((D64-D60)/(D63-D61))</f>
        <v>20.94766550450197</v>
      </c>
      <c r="E65" s="85"/>
      <c r="F65" s="100">
        <f>((F64-F60)-(F63-F61))/LN((F64-F60)/(F63-F61))</f>
        <v>24.65590827470913</v>
      </c>
      <c r="G65" s="101"/>
      <c r="H65" s="100">
        <f>((H64-H60)-(H63-H61))/LN((H64-H60)/(H63-H61))</f>
        <v>17.179115227627598</v>
      </c>
      <c r="I65" s="100">
        <f>((I64-I60)-(I63-I61))/LN((I64-I60)/(I63-I61))</f>
        <v>17.179115227627598</v>
      </c>
      <c r="K65" s="100">
        <f>((K64-K60)-(K63-K61))/LN((K64-K60)/(K63-K61))</f>
        <v>16.781809515534853</v>
      </c>
      <c r="L65" s="100">
        <f>((L64-L60)-(L63-L61))/LN((L64-L60)/(L63-L61))</f>
        <v>17.011591189344998</v>
      </c>
      <c r="N65" s="100">
        <f>((N64-N60)-(N63-N61))/LN((N64-N60)/(N63-N61))</f>
        <v>19.798253711505971</v>
      </c>
      <c r="O65" s="100">
        <f>((O64-O60)-(O63-O61))/LN((O64-O60)/(O63-O61))</f>
        <v>19.927231810659013</v>
      </c>
      <c r="Q65" s="100">
        <f>((Q64-Q60)-(Q63-Q61))/LN((Q64-Q60)/(Q63-Q61))</f>
        <v>14.444735942090714</v>
      </c>
      <c r="R65" s="100">
        <f>((R64-R60)-(R63-R61))/LN((R64-R60)/(R63-R61))</f>
        <v>14.157709077758462</v>
      </c>
      <c r="T65" s="100">
        <f>((T64-T60)-(T63-T61))/LN((T64-T60)/(T63-T61))</f>
        <v>20.94766550450197</v>
      </c>
      <c r="U65" s="101"/>
      <c r="V65" s="100"/>
    </row>
    <row r="66" spans="3:22">
      <c r="C66" s="112" t="s">
        <v>160</v>
      </c>
      <c r="D66" s="30">
        <f>D31*D34*(D63-D64)/1000</f>
        <v>190.69520934325558</v>
      </c>
      <c r="E66" s="85"/>
      <c r="F66" s="30">
        <f>F31*F34*(F63-F64)/1000</f>
        <v>224.45286748071624</v>
      </c>
      <c r="G66" s="101"/>
      <c r="H66" s="30">
        <f>H31*H34*(H63-H64)/1000</f>
        <v>239.62927346367093</v>
      </c>
      <c r="I66" s="30">
        <f>I31*I34*(I63-I64)/1000</f>
        <v>239.62927346367093</v>
      </c>
      <c r="K66" s="30">
        <f>K31*K34*(K63-K64)/1000</f>
        <v>178.90991069992995</v>
      </c>
      <c r="L66" s="30">
        <f>L31*L34*(L63-L64)/1000</f>
        <v>181.97507078712815</v>
      </c>
      <c r="N66" s="30">
        <f>N31*N34*(N63-N64)/1000</f>
        <v>288.98084833356296</v>
      </c>
      <c r="O66" s="30">
        <f>O31*O34*(O63-O64)/1000</f>
        <v>291.77553926586933</v>
      </c>
      <c r="Q66" s="30">
        <f>Q31*Q34*(Q63-Q64)/1000</f>
        <v>172.37782261617355</v>
      </c>
      <c r="R66" s="30">
        <f>R31*R34*(R63-R64)/1000</f>
        <v>166.9318627583288</v>
      </c>
      <c r="T66" s="30">
        <f>T31*T34*(T63-T64)/1000</f>
        <v>50.248068230592601</v>
      </c>
      <c r="U66" s="101"/>
      <c r="V66" s="100"/>
    </row>
    <row r="67" spans="3:22">
      <c r="C67" s="115" t="s">
        <v>161</v>
      </c>
      <c r="D67" s="18">
        <f>D66/D65</f>
        <v>9.1034110365316039</v>
      </c>
      <c r="E67" s="85"/>
      <c r="F67" s="18">
        <f>$D$67</f>
        <v>9.1034110365316039</v>
      </c>
      <c r="G67" s="101"/>
      <c r="H67" s="18">
        <f>$D$67</f>
        <v>9.1034110365316039</v>
      </c>
      <c r="I67" s="18">
        <f>$D$67</f>
        <v>9.1034110365316039</v>
      </c>
      <c r="K67" s="18">
        <f>$D$67</f>
        <v>9.1034110365316039</v>
      </c>
      <c r="L67" s="18">
        <f>$D$67</f>
        <v>9.1034110365316039</v>
      </c>
      <c r="N67" s="18">
        <f>$D$67</f>
        <v>9.1034110365316039</v>
      </c>
      <c r="O67" s="18">
        <f>$D$67</f>
        <v>9.1034110365316039</v>
      </c>
      <c r="Q67" s="18">
        <f>$D$67</f>
        <v>9.1034110365316039</v>
      </c>
      <c r="R67" s="18">
        <f>$D$67</f>
        <v>9.1034110365316039</v>
      </c>
      <c r="T67" s="18">
        <f>T66/T65</f>
        <v>2.3987431067100786</v>
      </c>
      <c r="U67" s="101"/>
      <c r="V67" s="100"/>
    </row>
    <row r="68" spans="3:22">
      <c r="C68" s="115" t="s">
        <v>165</v>
      </c>
      <c r="D68" s="103">
        <f>600/(371*1000/(21.1*58.36))-1</f>
        <v>0.99147601078167136</v>
      </c>
      <c r="E68" s="85"/>
      <c r="F68" s="121">
        <v>0</v>
      </c>
      <c r="G68" s="101"/>
      <c r="H68" s="121">
        <v>0.53226868471976252</v>
      </c>
      <c r="I68" s="121">
        <v>0.53226868471976252</v>
      </c>
      <c r="K68" s="121">
        <v>0.17109319356737396</v>
      </c>
      <c r="L68" s="121">
        <v>0.17506747285675303</v>
      </c>
      <c r="N68" s="121">
        <v>0.60338576613306838</v>
      </c>
      <c r="O68" s="121">
        <v>0.60841366830108989</v>
      </c>
      <c r="Q68" s="121">
        <v>0.31089416732919967</v>
      </c>
      <c r="R68" s="121">
        <v>0.29521570956653842</v>
      </c>
      <c r="T68" s="103">
        <f>600/(371*1000/(21.1*58.36))-1</f>
        <v>0.99147601078167136</v>
      </c>
      <c r="U68" s="101"/>
      <c r="V68" s="100"/>
    </row>
    <row r="69" spans="3:22">
      <c r="C69" s="112" t="s">
        <v>162</v>
      </c>
      <c r="D69" s="92">
        <f>D67*D65</f>
        <v>190.69520934325561</v>
      </c>
      <c r="E69" s="85"/>
      <c r="F69" s="92">
        <f>F67*F65*(1+F68)</f>
        <v>224.452867503698</v>
      </c>
      <c r="G69" s="101"/>
      <c r="H69" s="92">
        <f>H67*H65*(1+H68)</f>
        <v>239.6292734636709</v>
      </c>
      <c r="I69" s="92">
        <f>I67*I65*(1+I68)</f>
        <v>239.6292734636709</v>
      </c>
      <c r="K69" s="92">
        <f>K67*K65*(1+K68)</f>
        <v>178.90990969992995</v>
      </c>
      <c r="L69" s="92">
        <f>L67*L65*(1+L68)</f>
        <v>181.97506978712815</v>
      </c>
      <c r="N69" s="92">
        <f>N67*N65*(1+N68)</f>
        <v>288.98084833356296</v>
      </c>
      <c r="O69" s="92">
        <f>O67*O65*(1+O68)</f>
        <v>291.77553926586927</v>
      </c>
      <c r="Q69" s="92">
        <f>Q67*Q65*(1+Q68)</f>
        <v>172.37782261617352</v>
      </c>
      <c r="R69" s="92">
        <f>R67*R65*(1+R68)</f>
        <v>166.93186275832886</v>
      </c>
      <c r="T69" s="92">
        <f>T67*T65</f>
        <v>50.248068230592601</v>
      </c>
      <c r="U69" s="101"/>
      <c r="V69" s="100"/>
    </row>
    <row r="70" spans="3:22">
      <c r="C70" s="115" t="s">
        <v>164</v>
      </c>
      <c r="D70" s="123">
        <f>D69-D66</f>
        <v>0</v>
      </c>
      <c r="E70" s="124"/>
      <c r="F70" s="125">
        <f>F69-F66</f>
        <v>2.298176582371525E-8</v>
      </c>
      <c r="G70" s="126"/>
      <c r="H70" s="125">
        <f>H69-H66</f>
        <v>0</v>
      </c>
      <c r="I70" s="125">
        <f>I69-I66</f>
        <v>0</v>
      </c>
      <c r="K70" s="137">
        <f>K69-K66</f>
        <v>-9.9999999747524271E-7</v>
      </c>
      <c r="L70" s="137">
        <f>L69-L66</f>
        <v>-9.9999999747524271E-7</v>
      </c>
      <c r="N70" s="137">
        <f>N69-N66</f>
        <v>0</v>
      </c>
      <c r="O70" s="137">
        <f>O69-O66</f>
        <v>0</v>
      </c>
      <c r="Q70" s="137">
        <f>Q69-Q66</f>
        <v>0</v>
      </c>
      <c r="R70" s="137">
        <f>R69-R66</f>
        <v>0</v>
      </c>
      <c r="T70" s="123">
        <f>T69-T66</f>
        <v>0</v>
      </c>
    </row>
    <row r="71" spans="3:22">
      <c r="U71" s="101"/>
      <c r="V71" s="100"/>
    </row>
    <row r="72" spans="3:22">
      <c r="C72" s="7" t="s">
        <v>158</v>
      </c>
      <c r="D72" s="74"/>
      <c r="E72" s="85"/>
      <c r="F72" s="102"/>
      <c r="G72" s="101"/>
      <c r="H72" s="102"/>
      <c r="I72" s="102"/>
      <c r="K72" s="102"/>
      <c r="L72" s="102"/>
      <c r="N72" s="102"/>
      <c r="O72" s="102"/>
      <c r="Q72" s="102"/>
      <c r="R72" s="102"/>
      <c r="T72" s="74"/>
      <c r="U72" s="101"/>
      <c r="V72" s="100"/>
    </row>
    <row r="73" spans="3:22">
      <c r="C73" s="113" t="s">
        <v>155</v>
      </c>
      <c r="D73" s="111">
        <f>D61</f>
        <v>39</v>
      </c>
      <c r="E73" s="85"/>
      <c r="F73" s="111">
        <f>F61</f>
        <v>36.853193590099806</v>
      </c>
      <c r="G73" s="101"/>
      <c r="H73" s="111">
        <f>H61</f>
        <v>35.826710958074216</v>
      </c>
      <c r="I73" s="111">
        <f>I61</f>
        <v>35.826710958074216</v>
      </c>
      <c r="K73" s="111">
        <f>K61</f>
        <v>30.928223437078096</v>
      </c>
      <c r="L73" s="111">
        <f>L61</f>
        <v>30.944126152697386</v>
      </c>
      <c r="N73" s="111">
        <f>N61</f>
        <v>27.819295345017622</v>
      </c>
      <c r="O73" s="111">
        <f>O61</f>
        <v>27.83379480797419</v>
      </c>
      <c r="Q73" s="111">
        <f>Q61</f>
        <v>40.894333546749039</v>
      </c>
      <c r="R73" s="111">
        <f>R61</f>
        <v>40.866078725327121</v>
      </c>
      <c r="T73" s="111">
        <f>T61</f>
        <v>39</v>
      </c>
      <c r="U73" s="101"/>
      <c r="V73" s="100"/>
    </row>
    <row r="74" spans="3:22">
      <c r="C74" s="113" t="s">
        <v>156</v>
      </c>
      <c r="D74" s="100">
        <f>D83/(D75*4.18)*3.6+D73</f>
        <v>46.326212225935741</v>
      </c>
      <c r="E74" s="85"/>
      <c r="F74" s="100">
        <f>F83/(F75*4.18)*3.6+F73</f>
        <v>44.628601871369639</v>
      </c>
      <c r="G74" s="101"/>
      <c r="H74" s="100">
        <f>H83/(H75*4.18)*3.6+H73</f>
        <v>43.708777713890235</v>
      </c>
      <c r="I74" s="100">
        <f>I83/(I75*4.18)*3.6+I73</f>
        <v>43.708777713890235</v>
      </c>
      <c r="K74" s="100">
        <f>K83/(K75*4.18)*3.6+K73</f>
        <v>38.430302397390705</v>
      </c>
      <c r="L74" s="100">
        <f>L83/(L75*4.18)*3.6+L73</f>
        <v>38.433520622814207</v>
      </c>
      <c r="N74" s="100">
        <f>N83/(N75*4.18)*3.6+N73</f>
        <v>35.370111809493864</v>
      </c>
      <c r="O74" s="100">
        <f>O83/(O75*4.18)*3.6+O73</f>
        <v>35.499934711492884</v>
      </c>
      <c r="Q74" s="100">
        <f>Q83/(Q75*4.18)*3.6+Q73</f>
        <v>48.820080817183133</v>
      </c>
      <c r="R74" s="100">
        <f>R83/(R75*4.18)*3.6+R73</f>
        <v>49.274372905113431</v>
      </c>
      <c r="T74" s="74">
        <v>46.6</v>
      </c>
      <c r="U74" s="101"/>
      <c r="V74" s="100"/>
    </row>
    <row r="75" spans="3:22">
      <c r="C75" s="114" t="s">
        <v>163</v>
      </c>
      <c r="D75" s="116">
        <v>166</v>
      </c>
      <c r="E75" s="85"/>
      <c r="F75" s="150">
        <f>F62</f>
        <v>166</v>
      </c>
      <c r="G75" s="101"/>
      <c r="H75" s="118">
        <f>H62</f>
        <v>166</v>
      </c>
      <c r="I75" s="118">
        <f>I62</f>
        <v>166</v>
      </c>
      <c r="K75" s="118">
        <f>K62</f>
        <v>166</v>
      </c>
      <c r="L75" s="118">
        <f>L62</f>
        <v>166</v>
      </c>
      <c r="N75" s="118">
        <f>N62</f>
        <v>166</v>
      </c>
      <c r="O75" s="118">
        <f>O62</f>
        <v>166</v>
      </c>
      <c r="Q75" s="118">
        <f>Q62</f>
        <v>166</v>
      </c>
      <c r="R75" s="118">
        <f>R62</f>
        <v>166</v>
      </c>
      <c r="T75" s="118">
        <f>T62</f>
        <v>166</v>
      </c>
      <c r="U75" s="101"/>
      <c r="V75" s="100"/>
    </row>
    <row r="76" spans="3:22">
      <c r="C76" s="114" t="s">
        <v>159</v>
      </c>
      <c r="D76" s="111">
        <f>D55</f>
        <v>85.8</v>
      </c>
      <c r="E76" s="85"/>
      <c r="F76" s="111">
        <f>F55</f>
        <v>91.700829241261445</v>
      </c>
      <c r="G76" s="101"/>
      <c r="H76" s="111">
        <f>H55</f>
        <v>88.432677178030232</v>
      </c>
      <c r="I76" s="111">
        <f>I55</f>
        <v>88.432677178030232</v>
      </c>
      <c r="K76" s="111">
        <f>K55</f>
        <v>81.25</v>
      </c>
      <c r="L76" s="111">
        <f>L55</f>
        <v>82.24</v>
      </c>
      <c r="N76" s="111">
        <f>N55</f>
        <v>88.6</v>
      </c>
      <c r="O76" s="111">
        <f>O55</f>
        <v>89.17</v>
      </c>
      <c r="Q76" s="111">
        <f>Q55</f>
        <v>88.76</v>
      </c>
      <c r="R76" s="111">
        <f>R55</f>
        <v>87.43</v>
      </c>
      <c r="T76" s="111">
        <f>T55</f>
        <v>85.8</v>
      </c>
      <c r="U76" s="101"/>
      <c r="V76" s="100"/>
    </row>
    <row r="77" spans="3:22">
      <c r="C77" s="114" t="s">
        <v>192</v>
      </c>
      <c r="D77" s="74">
        <v>50</v>
      </c>
      <c r="E77" s="85"/>
      <c r="F77" s="100">
        <f>(100%*F78-F86*F76)/(1-F86)</f>
        <v>46.734736698360734</v>
      </c>
      <c r="G77" s="101"/>
      <c r="H77" s="100">
        <f>(100%*H78-H86*H76)/(1-H86)</f>
        <v>46.8804329201634</v>
      </c>
      <c r="I77" s="100">
        <f>(100%*I78-I86*I76)/(1-I86)</f>
        <v>46.8804329201634</v>
      </c>
      <c r="K77" s="100">
        <f>(100%*K78-K86*K76)/(1-K86)</f>
        <v>44.250031270595237</v>
      </c>
      <c r="L77" s="100">
        <f>(100%*L78-L86*L76)/(1-L86)</f>
        <v>43.938371759208941</v>
      </c>
      <c r="N77" s="100">
        <f>(100%*N78-N86*N76)/(1-N86)</f>
        <v>39.556870904175355</v>
      </c>
      <c r="O77" s="100">
        <f>(100%*O78-O86*O76)/(1-O86)</f>
        <v>39.713995915908647</v>
      </c>
      <c r="Q77" s="100">
        <f>(100%*Q78-Q86*Q76)/(1-Q86)</f>
        <v>52.727060854709023</v>
      </c>
      <c r="R77" s="100">
        <f>(100%*R78-R86*R76)/(1-R86)</f>
        <v>54.08073322906148</v>
      </c>
      <c r="T77" s="74">
        <v>50</v>
      </c>
      <c r="U77" s="82"/>
      <c r="V77" s="83">
        <v>2.17</v>
      </c>
    </row>
    <row r="78" spans="3:22">
      <c r="C78" s="114" t="s">
        <v>194</v>
      </c>
      <c r="D78" s="74">
        <v>50</v>
      </c>
      <c r="E78" s="85"/>
      <c r="F78" s="102">
        <v>47.25</v>
      </c>
      <c r="G78" s="101"/>
      <c r="H78" s="102">
        <v>47.25</v>
      </c>
      <c r="I78" s="102">
        <v>47.25</v>
      </c>
      <c r="K78" s="102">
        <v>47.97</v>
      </c>
      <c r="L78" s="102">
        <v>47.97</v>
      </c>
      <c r="N78" s="102">
        <v>47.73</v>
      </c>
      <c r="O78" s="102">
        <v>47.73</v>
      </c>
      <c r="Q78" s="102">
        <v>51.32</v>
      </c>
      <c r="R78" s="102">
        <v>51.32</v>
      </c>
      <c r="T78" s="74">
        <v>50</v>
      </c>
      <c r="U78" s="82"/>
      <c r="V78" s="83">
        <v>2.17</v>
      </c>
    </row>
    <row r="79" spans="3:22">
      <c r="C79" s="114" t="s">
        <v>21</v>
      </c>
      <c r="D79" s="86">
        <v>1.95</v>
      </c>
      <c r="E79" s="85"/>
      <c r="F79" s="86">
        <v>1.95</v>
      </c>
      <c r="G79" s="82"/>
      <c r="H79" s="86">
        <v>1.95</v>
      </c>
      <c r="I79" s="86">
        <v>1.95</v>
      </c>
      <c r="K79" s="86">
        <v>1.95</v>
      </c>
      <c r="L79" s="86">
        <v>1.95</v>
      </c>
      <c r="N79" s="86">
        <v>1.95</v>
      </c>
      <c r="O79" s="86">
        <v>1.95</v>
      </c>
      <c r="Q79" s="86">
        <v>1.95</v>
      </c>
      <c r="R79" s="86">
        <v>1.95</v>
      </c>
      <c r="T79" s="86">
        <v>1.95</v>
      </c>
      <c r="V79" s="87">
        <v>835</v>
      </c>
    </row>
    <row r="80" spans="3:22">
      <c r="C80" s="114" t="s">
        <v>22</v>
      </c>
      <c r="D80" s="16">
        <v>980</v>
      </c>
      <c r="E80" s="85"/>
      <c r="F80" s="16">
        <v>980</v>
      </c>
      <c r="H80" s="16">
        <v>980</v>
      </c>
      <c r="I80" s="16">
        <v>980</v>
      </c>
      <c r="K80" s="16">
        <v>980</v>
      </c>
      <c r="L80" s="16">
        <v>980</v>
      </c>
      <c r="N80" s="16">
        <v>980</v>
      </c>
      <c r="O80" s="16">
        <v>980</v>
      </c>
      <c r="Q80" s="16">
        <v>980</v>
      </c>
      <c r="R80" s="16">
        <v>980</v>
      </c>
      <c r="T80" s="16">
        <v>980</v>
      </c>
      <c r="V80" s="13">
        <f>(273.15+V36)*(V39/V38)^((V33-1)/V33)-273.15</f>
        <v>329.94928277500037</v>
      </c>
    </row>
    <row r="81" spans="3:22">
      <c r="C81" s="7" t="s">
        <v>26</v>
      </c>
      <c r="D81" s="13">
        <f>(273.15+D36)*(D39/D38)^((D33-1)/D33)-273.15</f>
        <v>351.48630345349466</v>
      </c>
      <c r="F81" s="13">
        <f>(273.15+F36)*(F39/F38)^((F33-1)/F33)-273.15</f>
        <v>329.94928277500037</v>
      </c>
      <c r="H81" s="13">
        <f>(273.15+H36)*(H39/H38)^((H33-1)/H33)-273.15</f>
        <v>329.94928277500037</v>
      </c>
      <c r="I81" s="13">
        <f>(273.15+I36)*(I39/I38)^((I33-1)/I33)-273.15</f>
        <v>329.94928277500037</v>
      </c>
      <c r="K81" s="13">
        <f>(273.15+K36)*(K39/K38)^((K33-1)/K33)-273.15</f>
        <v>362.23055856913902</v>
      </c>
      <c r="L81" s="13">
        <f>(273.15+L36)*(L39/L38)^((L33-1)/L33)-273.15</f>
        <v>363.34164033254069</v>
      </c>
      <c r="N81" s="13">
        <f>(273.15+N36)*(N39/N38)^((N33-1)/N33)-273.15</f>
        <v>314.17068544844233</v>
      </c>
      <c r="O81" s="13">
        <f>(273.15+O36)*(O39/O38)^((O33-1)/O33)-273.15</f>
        <v>314.61600763747822</v>
      </c>
      <c r="Q81" s="13">
        <f>(273.15+Q36)*(Q39/Q38)^((Q33-1)/Q33)-273.15</f>
        <v>395.18946449720306</v>
      </c>
      <c r="R81" s="13">
        <f>(273.15+R36)*(R39/R38)^((R33-1)/R33)-273.15</f>
        <v>396.57590260161726</v>
      </c>
      <c r="T81" s="13">
        <f>(273.15+T36)*(T39/T38)^((T33-1)/T33)-273.15</f>
        <v>791.47623460600323</v>
      </c>
      <c r="V81" s="13">
        <f>V80-V55</f>
        <v>234.67645268248668</v>
      </c>
    </row>
    <row r="82" spans="3:22">
      <c r="C82" s="7" t="s">
        <v>74</v>
      </c>
      <c r="D82" s="13">
        <f>D81-D55</f>
        <v>265.68630345349465</v>
      </c>
      <c r="F82" s="13">
        <f>F81-F55</f>
        <v>238.24845353373894</v>
      </c>
      <c r="H82" s="13">
        <f>H81-H55</f>
        <v>241.51660559697012</v>
      </c>
      <c r="I82" s="13">
        <f>I81-I55</f>
        <v>241.51660559697012</v>
      </c>
      <c r="K82" s="13">
        <f>K81-K55</f>
        <v>280.98055856913902</v>
      </c>
      <c r="L82" s="13">
        <f>L81-L55</f>
        <v>281.10164033254068</v>
      </c>
      <c r="N82" s="13">
        <f>N81-N55</f>
        <v>225.57068544844233</v>
      </c>
      <c r="O82" s="13">
        <f>O81-O55</f>
        <v>225.4460076374782</v>
      </c>
      <c r="Q82" s="13">
        <f>Q81-Q55</f>
        <v>306.42946449720307</v>
      </c>
      <c r="R82" s="13">
        <f>R81-R55</f>
        <v>309.14590260161725</v>
      </c>
      <c r="T82" s="13">
        <f>T81-T55</f>
        <v>705.67623460600328</v>
      </c>
      <c r="U82" s="25"/>
      <c r="V82" s="92">
        <f>V34*V81*V31/1000/V53</f>
        <v>1485.2742812677457</v>
      </c>
    </row>
    <row r="83" spans="3:22">
      <c r="C83" s="7" t="s">
        <v>135</v>
      </c>
      <c r="D83" s="92">
        <f>D34*D82*D31/1000/D53</f>
        <v>1412.0867053700817</v>
      </c>
      <c r="E83" s="25"/>
      <c r="F83" s="92">
        <f>F34*F82*F31/1000/F53</f>
        <v>1498.6667495020858</v>
      </c>
      <c r="G83" s="25"/>
      <c r="H83" s="92">
        <f>H34*H82*H31/1000/H53</f>
        <v>1519.2245779237826</v>
      </c>
      <c r="I83" s="92">
        <f>I34*I82*I31/1000/I53</f>
        <v>1519.2245779237826</v>
      </c>
      <c r="K83" s="92">
        <f>K34*K82*K31/1000/K53</f>
        <v>1445.9840413838094</v>
      </c>
      <c r="L83" s="92">
        <f>L34*L82*L31/1000/L53</f>
        <v>1443.5391763679613</v>
      </c>
      <c r="N83" s="92">
        <f>N34*N82*N31/1000/N53</f>
        <v>1455.3779245474379</v>
      </c>
      <c r="O83" s="92">
        <f>O34*O82*O31/1000/O53</f>
        <v>1477.6058767370973</v>
      </c>
      <c r="Q83" s="92">
        <f>Q34*Q82*Q31/1000/Q53</f>
        <v>1527.6437544468911</v>
      </c>
      <c r="R83" s="92">
        <f>R34*R82*R31/1000/R53</f>
        <v>1620.6519904083684</v>
      </c>
      <c r="T83" s="92">
        <f>T34*T82*T31/1000/T53</f>
        <v>1537.3666012105759</v>
      </c>
      <c r="V83" s="96">
        <f>F85</f>
        <v>74.305361481635217</v>
      </c>
    </row>
    <row r="84" spans="3:22">
      <c r="C84" s="7" t="s">
        <v>190</v>
      </c>
      <c r="D84" s="141">
        <f>D83/(D79*(D55-D78))*3600</f>
        <v>72819.254252002516</v>
      </c>
      <c r="F84" s="141">
        <f>$D$84</f>
        <v>72819.254252002516</v>
      </c>
      <c r="H84" s="141">
        <f>$D$84</f>
        <v>72819.254252002516</v>
      </c>
      <c r="I84" s="141">
        <f>$D$84</f>
        <v>72819.254252002516</v>
      </c>
      <c r="K84" s="141">
        <f>$D$84</f>
        <v>72819.254252002516</v>
      </c>
      <c r="L84" s="141">
        <f>$D$84</f>
        <v>72819.254252002516</v>
      </c>
      <c r="N84" s="141">
        <f>$D$84</f>
        <v>72819.254252002516</v>
      </c>
      <c r="O84" s="141">
        <f>$D$84</f>
        <v>72819.254252002516</v>
      </c>
      <c r="Q84" s="141">
        <f>$D$84</f>
        <v>72819.254252002516</v>
      </c>
      <c r="R84" s="141">
        <f>$D$84</f>
        <v>72819.254252002516</v>
      </c>
      <c r="T84" s="141">
        <f>T83/(T79*(T55-T78))*3600</f>
        <v>79279.755971323219</v>
      </c>
      <c r="V84" s="77">
        <f>V85*1000/60</f>
        <v>20640.378189343111</v>
      </c>
    </row>
    <row r="85" spans="3:22">
      <c r="C85" s="7" t="s">
        <v>124</v>
      </c>
      <c r="D85" s="22">
        <f>D84/D80</f>
        <v>74.305361481635217</v>
      </c>
      <c r="F85" s="22">
        <f>F84/F80</f>
        <v>74.305361481635217</v>
      </c>
      <c r="H85" s="22">
        <f>H84/H80</f>
        <v>74.305361481635217</v>
      </c>
      <c r="I85" s="22">
        <f>I84/I80</f>
        <v>74.305361481635217</v>
      </c>
      <c r="K85" s="22">
        <f>K84/K80</f>
        <v>74.305361481635217</v>
      </c>
      <c r="L85" s="22">
        <f>L84/L80</f>
        <v>74.305361481635217</v>
      </c>
      <c r="N85" s="22">
        <f>N84/N80</f>
        <v>74.305361481635217</v>
      </c>
      <c r="O85" s="22">
        <f>O84/O80</f>
        <v>74.305361481635217</v>
      </c>
      <c r="Q85" s="22">
        <f>Q84/Q80</f>
        <v>74.305361481635217</v>
      </c>
      <c r="R85" s="22">
        <f>R84/R80</f>
        <v>74.305361481635217</v>
      </c>
      <c r="T85" s="22">
        <f>T84/T80</f>
        <v>80.897710174819608</v>
      </c>
      <c r="V85" s="77">
        <f>V83*1000/60</f>
        <v>1238.4226913605869</v>
      </c>
    </row>
    <row r="86" spans="3:22">
      <c r="C86" s="7" t="s">
        <v>195</v>
      </c>
      <c r="D86" s="103">
        <v>0</v>
      </c>
      <c r="F86" s="143">
        <v>1.1458929884727411E-2</v>
      </c>
      <c r="H86" s="143">
        <v>8.894034159578049E-3</v>
      </c>
      <c r="I86" s="143">
        <v>8.894034159578049E-3</v>
      </c>
      <c r="K86" s="143">
        <v>0.10053978036063617</v>
      </c>
      <c r="L86" s="143">
        <v>0.105259970031702</v>
      </c>
      <c r="N86" s="143">
        <v>0.16665186839639234</v>
      </c>
      <c r="O86" s="143">
        <v>0.16208353732868355</v>
      </c>
      <c r="Q86" s="143">
        <v>-3.9049294564495809E-2</v>
      </c>
      <c r="R86" s="143">
        <v>-8.27824266129671E-2</v>
      </c>
      <c r="T86" s="103">
        <v>0</v>
      </c>
      <c r="U86" s="106"/>
      <c r="V86" s="93"/>
    </row>
    <row r="87" spans="3:22">
      <c r="C87" s="7" t="s">
        <v>124</v>
      </c>
      <c r="D87" s="77">
        <f>D85*1000/60</f>
        <v>1238.4226913605869</v>
      </c>
      <c r="F87" s="77">
        <f>(1-F86)*$D$87</f>
        <v>1224.2316925726304</v>
      </c>
      <c r="H87" s="77">
        <f>(1-H86)*$D$87</f>
        <v>1227.4081176396294</v>
      </c>
      <c r="I87" s="77">
        <f>(1-I86)*$D$87</f>
        <v>1227.4081176396294</v>
      </c>
      <c r="K87" s="77">
        <f>(1-K86)*$D$87</f>
        <v>1113.9119459775657</v>
      </c>
      <c r="L87" s="77">
        <f>(1-L86)*$D$87</f>
        <v>1108.0663559813918</v>
      </c>
      <c r="N87" s="77">
        <f>(1-N86)*$D$87</f>
        <v>1032.0372359808564</v>
      </c>
      <c r="O87" s="77">
        <f>(1-O86)*$D$87</f>
        <v>1037.6947608367545</v>
      </c>
      <c r="Q87" s="77">
        <f>(1-Q86)*$D$87</f>
        <v>1286.782223830882</v>
      </c>
      <c r="R87" s="77">
        <f>(1-R86)*$D$87</f>
        <v>1340.9423269239778</v>
      </c>
      <c r="T87" s="77">
        <f>T85*1000/60</f>
        <v>1348.295169580327</v>
      </c>
      <c r="U87" s="106"/>
      <c r="V87" s="93">
        <v>0.92255515242259667</v>
      </c>
    </row>
    <row r="88" spans="3:22">
      <c r="C88" s="7" t="s">
        <v>172</v>
      </c>
      <c r="D88" s="93">
        <v>0.92255515242259667</v>
      </c>
      <c r="E88" s="106"/>
      <c r="F88" s="93">
        <v>0.92255515242259667</v>
      </c>
      <c r="G88" s="106"/>
      <c r="H88" s="93">
        <v>0.92255515242259667</v>
      </c>
      <c r="I88" s="93">
        <v>0.92255515242259667</v>
      </c>
      <c r="K88" s="93">
        <v>0.92255515242259667</v>
      </c>
      <c r="L88" s="93">
        <v>0.92255515242259667</v>
      </c>
      <c r="N88" s="93">
        <v>0.92255515242259667</v>
      </c>
      <c r="O88" s="93">
        <v>0.92255515242259667</v>
      </c>
      <c r="Q88" s="93">
        <v>0.92255515242259667</v>
      </c>
      <c r="R88" s="93">
        <v>0.92255515242259667</v>
      </c>
      <c r="T88" s="93">
        <v>0.92255515242259667</v>
      </c>
      <c r="V88" s="18">
        <f>V87*((V55-V59)-(V111-V60))/LN((V55-V59)/(V111-V60))</f>
        <v>20.873012260930441</v>
      </c>
    </row>
    <row r="89" spans="3:22">
      <c r="C89" s="7" t="s">
        <v>171</v>
      </c>
      <c r="D89" s="18">
        <f>((D76-D74)-(D78-D73))/LN((D76-D74)/(D78-D73))*D88</f>
        <v>20.558648218630605</v>
      </c>
      <c r="F89" s="18">
        <f t="shared" ref="F89:H89" si="0">((F76-F74)-(F77-F73))/LN((F76-F74)/(F77-F73))*F88</f>
        <v>21.979589303169497</v>
      </c>
      <c r="H89" s="18">
        <f t="shared" si="0"/>
        <v>22.223430302179672</v>
      </c>
      <c r="I89" s="18">
        <f t="shared" ref="I89" si="1">((I76-I74)-(I77-I73))/LN((I76-I74)/(I77-I73))*I88</f>
        <v>22.223430302179672</v>
      </c>
      <c r="K89" s="18">
        <f t="shared" ref="K89" si="2">((K76-K74)-(K77-K73))/LN((K76-K74)/(K77-K73))*K88</f>
        <v>23.307234588053962</v>
      </c>
      <c r="L89" s="18">
        <f t="shared" ref="L89" si="3">((L76-L74)-(L77-L73))/LN((L76-L74)/(L77-L73))*L88</f>
        <v>23.390575903680308</v>
      </c>
      <c r="N89" s="18">
        <f>((N76-N74)-(N77-N73))/LN((N76-N74)/(N77-N73))*N88</f>
        <v>25.319698219227138</v>
      </c>
      <c r="O89" s="18">
        <f>((O76-O74)-(O77-O73))/LN((O76-O74)/(O77-O73))*O88</f>
        <v>25.566253717145759</v>
      </c>
      <c r="Q89" s="18">
        <f t="shared" ref="Q89:R89" si="4">((Q76-Q74)-(Q77-Q73))/LN((Q76-Q74)/(Q77-Q73))*Q88</f>
        <v>21.315481381592651</v>
      </c>
      <c r="R89" s="18">
        <f t="shared" si="4"/>
        <v>21.699902188591352</v>
      </c>
      <c r="T89" s="18">
        <f>((T76-T74)-(T78-T73))/LN((T76-T74)/(T78-T73))*T88</f>
        <v>20.472485498602115</v>
      </c>
      <c r="U89" s="25"/>
      <c r="V89" s="94">
        <f>(V31/$D$31)^0.7*$D$90*1.05</f>
        <v>71.39928196991589</v>
      </c>
    </row>
    <row r="90" spans="3:22">
      <c r="C90" s="7" t="s">
        <v>150</v>
      </c>
      <c r="D90" s="18">
        <f>D83/D89</f>
        <v>68.685775949530779</v>
      </c>
      <c r="F90" s="94">
        <f>(F87/$D$87)*$D$90</f>
        <v>67.898710458847006</v>
      </c>
      <c r="G90" s="25"/>
      <c r="H90" s="94">
        <f>(H87/$D$87)*$D$90</f>
        <v>68.074882311958532</v>
      </c>
      <c r="I90" s="94">
        <f>(I87/$D$87)*$D$90</f>
        <v>68.074882311958532</v>
      </c>
      <c r="K90" s="94">
        <f t="shared" ref="K90:L90" si="5">(K87/$D$87)*$D$90</f>
        <v>61.780123121665099</v>
      </c>
      <c r="L90" s="94">
        <f t="shared" si="5"/>
        <v>61.455913231478974</v>
      </c>
      <c r="N90" s="94">
        <f>(N87/$D$87)*$D$90</f>
        <v>57.239163055285488</v>
      </c>
      <c r="O90" s="94">
        <f>(O87/$D$87)*$D$90</f>
        <v>57.552942419465417</v>
      </c>
      <c r="Q90" s="94">
        <f t="shared" ref="Q90:R90" si="6">(Q87/$D$87)*$D$90</f>
        <v>71.367907046974963</v>
      </c>
      <c r="R90" s="94">
        <f t="shared" si="6"/>
        <v>74.371751156427507</v>
      </c>
      <c r="T90" s="18">
        <f>T83/T89</f>
        <v>75.094282094645962</v>
      </c>
      <c r="U90" s="25"/>
      <c r="V90" s="94"/>
    </row>
    <row r="91" spans="3:22">
      <c r="C91" s="115" t="s">
        <v>165</v>
      </c>
      <c r="D91" s="103">
        <f>374/(2895*1000/(20.43*429))-1</f>
        <v>0.13226659067357516</v>
      </c>
      <c r="F91" s="121">
        <v>0</v>
      </c>
      <c r="G91" s="25"/>
      <c r="H91" s="121">
        <v>0</v>
      </c>
      <c r="I91" s="121">
        <v>0</v>
      </c>
      <c r="K91" s="121">
        <v>0</v>
      </c>
      <c r="L91" s="121">
        <v>0</v>
      </c>
      <c r="N91" s="121">
        <v>0</v>
      </c>
      <c r="O91" s="121">
        <v>0</v>
      </c>
      <c r="Q91" s="121">
        <v>0</v>
      </c>
      <c r="R91" s="121">
        <v>0</v>
      </c>
      <c r="T91" s="103">
        <f>374/(2895*1000/(20.43*429))-1</f>
        <v>0.13226659067357516</v>
      </c>
      <c r="V91" s="92">
        <f>V89*V88</f>
        <v>1490.3180879796842</v>
      </c>
    </row>
    <row r="92" spans="3:22">
      <c r="C92" s="7" t="s">
        <v>148</v>
      </c>
      <c r="D92" s="92">
        <f>D90*D89</f>
        <v>1412.0867053700817</v>
      </c>
      <c r="F92" s="92">
        <f>F90*F89*(1+F91)</f>
        <v>1492.3857701002764</v>
      </c>
      <c r="H92" s="92">
        <f>H90*H89*(1+H91)</f>
        <v>1512.8574023888941</v>
      </c>
      <c r="I92" s="92">
        <f>I90*I89*(1+I91)</f>
        <v>1512.8574023888941</v>
      </c>
      <c r="K92" s="92">
        <f>K90*K89*(1+K91)</f>
        <v>1439.9238224755052</v>
      </c>
      <c r="L92" s="92">
        <f>L90*L89*(1+L91)</f>
        <v>1437.4892031708998</v>
      </c>
      <c r="N92" s="92">
        <f>N90*N89*(1+N91)</f>
        <v>1449.2783348809637</v>
      </c>
      <c r="O92" s="92">
        <f>O90*O89*(1+O91)</f>
        <v>1471.4131280643335</v>
      </c>
      <c r="Q92" s="92">
        <f>Q90*Q89*(1+Q91)</f>
        <v>1521.2412939030298</v>
      </c>
      <c r="R92" s="92">
        <f>R90*R89*(1+R91)</f>
        <v>1613.8597256887326</v>
      </c>
      <c r="T92" s="92">
        <f>T90*T89</f>
        <v>1537.3666012105759</v>
      </c>
      <c r="V92" s="98">
        <f>V82-V91</f>
        <v>-5.0438067119384868</v>
      </c>
    </row>
    <row r="93" spans="3:22">
      <c r="C93" s="115" t="s">
        <v>164</v>
      </c>
      <c r="D93" s="139">
        <f>D83-D92</f>
        <v>0</v>
      </c>
      <c r="E93" s="122"/>
      <c r="F93" s="140">
        <f>F83-F92</f>
        <v>6.2809794018094181</v>
      </c>
      <c r="G93" s="128"/>
      <c r="H93" s="140">
        <f>H83-H92</f>
        <v>6.3671755348884744</v>
      </c>
      <c r="I93" s="140">
        <f>I83-I92</f>
        <v>6.3671755348884744</v>
      </c>
      <c r="K93" s="140">
        <f>K83-K92</f>
        <v>6.0602189083042504</v>
      </c>
      <c r="L93" s="127">
        <f>L83-L92</f>
        <v>6.0499731970614903</v>
      </c>
      <c r="N93" s="127">
        <f>N83-N92</f>
        <v>6.0995896664742304</v>
      </c>
      <c r="O93" s="127">
        <f>O83-O92</f>
        <v>6.1927486727638552</v>
      </c>
      <c r="Q93" s="127">
        <f>Q83-Q92</f>
        <v>6.4024605438612525</v>
      </c>
      <c r="R93" s="127">
        <f>R83-R92</f>
        <v>6.7922647196357957</v>
      </c>
      <c r="T93" s="139">
        <f>T83-T92</f>
        <v>0</v>
      </c>
    </row>
    <row r="94" spans="3:22">
      <c r="F94" s="1">
        <v>0</v>
      </c>
      <c r="K94" s="1">
        <v>0</v>
      </c>
      <c r="L94" s="1">
        <v>0</v>
      </c>
      <c r="N94" s="1">
        <v>0</v>
      </c>
      <c r="O94" s="1">
        <v>0</v>
      </c>
      <c r="Q94" s="1">
        <v>0</v>
      </c>
      <c r="R94" s="1">
        <v>0</v>
      </c>
      <c r="V94" s="77"/>
    </row>
    <row r="95" spans="3:22">
      <c r="V95" s="9">
        <v>3</v>
      </c>
    </row>
    <row r="96" spans="3:22">
      <c r="C96" s="43" t="s">
        <v>104</v>
      </c>
      <c r="D96" s="75">
        <f>D30/D99</f>
        <v>988.0354055612562</v>
      </c>
      <c r="F96" s="75">
        <f>F30/F99</f>
        <v>1013.0360466801378</v>
      </c>
      <c r="H96" s="75">
        <f>H30/H99</f>
        <v>1009.7169875886773</v>
      </c>
      <c r="I96" s="75">
        <f>I30/I99</f>
        <v>1009.7169875886773</v>
      </c>
      <c r="J96" s="75"/>
      <c r="K96" s="75">
        <f>K30/K99</f>
        <v>854.96211435222835</v>
      </c>
      <c r="L96" s="75">
        <f>L30/L99</f>
        <v>851.28908474021694</v>
      </c>
      <c r="M96" s="75"/>
      <c r="N96" s="75">
        <f>N30/N99</f>
        <v>1015.1675210033565</v>
      </c>
      <c r="O96" s="75">
        <f>O30/O99</f>
        <v>1013.3174681669184</v>
      </c>
      <c r="P96" s="75"/>
      <c r="Q96" s="75">
        <f>Q30/Q99</f>
        <v>812.85257868176916</v>
      </c>
      <c r="R96" s="75">
        <f>R30/R99</f>
        <v>808.59689166842168</v>
      </c>
      <c r="S96" s="75"/>
      <c r="T96" s="75">
        <f>T30/T99</f>
        <v>260.34884097917035</v>
      </c>
      <c r="V96" s="75">
        <f>V30/V99</f>
        <v>998.52935413433352</v>
      </c>
    </row>
    <row r="97" spans="2:22">
      <c r="C97" s="43" t="s">
        <v>105</v>
      </c>
      <c r="D97" s="63">
        <f>D85/(D96+D157)</f>
        <v>7.5205160729463788E-2</v>
      </c>
      <c r="F97" s="63">
        <f>F85/(F96+F157)</f>
        <v>7.3349178171047691E-2</v>
      </c>
      <c r="H97" s="63">
        <f>H85/(H96+H157)</f>
        <v>7.3590285589910834E-2</v>
      </c>
      <c r="I97" s="63">
        <f>I85/(I96+I157)</f>
        <v>7.3590285589910834E-2</v>
      </c>
      <c r="J97" s="63"/>
      <c r="K97" s="63">
        <f>K85/(K96+K157)</f>
        <v>8.6910706608249552E-2</v>
      </c>
      <c r="L97" s="63">
        <f>L85/(L96+L157)</f>
        <v>8.7285697436506618E-2</v>
      </c>
      <c r="M97" s="63"/>
      <c r="N97" s="63">
        <f>N85/(N96+N157)</f>
        <v>7.3195172170396436E-2</v>
      </c>
      <c r="O97" s="63">
        <f>O85/(O96+O157)</f>
        <v>7.3328807423060513E-2</v>
      </c>
      <c r="P97" s="63"/>
      <c r="Q97" s="63">
        <f>Q85/(Q96+Q157)</f>
        <v>9.1413084525288416E-2</v>
      </c>
      <c r="R97" s="63">
        <f>R85/(R96+R157)</f>
        <v>9.1894196288977742E-2</v>
      </c>
      <c r="S97" s="63"/>
      <c r="T97" s="63">
        <f>T85/(T96+T157)</f>
        <v>0.31072813641329777</v>
      </c>
      <c r="V97" s="63">
        <f>V83/(V96+V157)</f>
        <v>7.4414799298568063E-2</v>
      </c>
    </row>
    <row r="98" spans="2:22">
      <c r="C98" s="43" t="s">
        <v>119</v>
      </c>
      <c r="D98" s="1">
        <f>[1]!density(D13,"TP","SI with C",D36,D38/10)</f>
        <v>0.60266960229163824</v>
      </c>
      <c r="F98" s="1">
        <f>[1]!density(F13,"TP","SI with C",F36,F38/10)</f>
        <v>0.60665191980491029</v>
      </c>
      <c r="H98" s="1">
        <f>[1]!density(H13,"TP","SI with C",H36,H38/10)</f>
        <v>0.60665191980491029</v>
      </c>
      <c r="I98" s="1">
        <f>[1]!density(I13,"TP","SI with C",I36,I38/10)</f>
        <v>0.60665191980491029</v>
      </c>
      <c r="K98" s="1">
        <f>[1]!density(K13,"TP","SI with C",K36,K38/10)</f>
        <v>0.4781168878063678</v>
      </c>
      <c r="L98" s="1">
        <f>[1]!density(L13,"TP","SI with C",L36,L38/10)</f>
        <v>0.4765306948385345</v>
      </c>
      <c r="N98" s="1">
        <f>[1]!density(N13,"TP","SI with C",N36,N38/10)</f>
        <v>0.63219706774803408</v>
      </c>
      <c r="O98" s="1">
        <f>[1]!density(O13,"TP","SI with C",O36,O38/10)</f>
        <v>0.63219706774803408</v>
      </c>
      <c r="Q98" s="1">
        <f>[1]!density(Q13,"TP","SI with C",Q36,Q38/10)</f>
        <v>0.47534185111565785</v>
      </c>
      <c r="R98" s="1">
        <f>[1]!density(R13,"TP","SI with C",R36,R38/10)</f>
        <v>0.47380068577501283</v>
      </c>
      <c r="T98" s="1">
        <f>[1]!density(T13,"TP","SI with C",T36,T38/10)</f>
        <v>0.15880436223930217</v>
      </c>
      <c r="V98" s="1">
        <f>[1]!density(V13,"TP","SI with C",V36,V38/10)</f>
        <v>0.60665191980491029</v>
      </c>
    </row>
    <row r="99" spans="2:22">
      <c r="C99" s="43" t="s">
        <v>120</v>
      </c>
      <c r="D99" s="1">
        <f>[1]!density(D13,"TP","SI with C",D61,D39/10)</f>
        <v>3.2792347134154678</v>
      </c>
      <c r="F99" s="1">
        <f>[1]!density(F13,"TP","SI with C",F61,F39/10)</f>
        <v>3.2194404811701083</v>
      </c>
      <c r="H99" s="1">
        <f>[1]!density(H13,"TP","SI with C",H61,H39/10)</f>
        <v>3.2300231625845925</v>
      </c>
      <c r="I99" s="1">
        <f>[1]!density(I13,"TP","SI with C",I61,I39/10)</f>
        <v>3.2300231625845925</v>
      </c>
      <c r="K99" s="1">
        <f>[1]!density(K13,"TP","SI with C",K61,K39/10)</f>
        <v>3.0064427401266034</v>
      </c>
      <c r="L99" s="1">
        <f>[1]!density(L13,"TP","SI with C",L61,L39/10)</f>
        <v>3.0093973802764702</v>
      </c>
      <c r="N99" s="1">
        <f>[1]!density(N13,"TP","SI with C",N61,N39/10)</f>
        <v>3.3479617367512748</v>
      </c>
      <c r="O99" s="1">
        <f>[1]!density(O13,"TP","SI with C",O61,O39/10)</f>
        <v>3.3540742397939467</v>
      </c>
      <c r="Q99" s="1">
        <f>[1]!density(Q13,"TP","SI with C",Q61,Q39/10)</f>
        <v>3.1438367663775919</v>
      </c>
      <c r="R99" s="1">
        <f>[1]!density(R13,"TP","SI with C",R61,R39/10)</f>
        <v>3.1501362676187776</v>
      </c>
      <c r="T99" s="1">
        <f>[1]!density(T13,"TP","SI with C",T61,T39/10)</f>
        <v>3.2792347134154678</v>
      </c>
      <c r="V99" s="1">
        <f>[1]!density(V13,"TP","SI with C",V60,V39/10)</f>
        <v>3.1985442881304014</v>
      </c>
    </row>
    <row r="100" spans="2:22">
      <c r="C100" s="43" t="s">
        <v>126</v>
      </c>
      <c r="D100" s="1">
        <f>[1]!density("helium","TP","SI with C",0,1/10)</f>
        <v>0.1761481440000498</v>
      </c>
      <c r="T100" s="1">
        <f>[1]!density("helium","TP","SI with C",0,1/10)</f>
        <v>0.1761481440000498</v>
      </c>
    </row>
    <row r="101" spans="2:22">
      <c r="V101" s="9"/>
    </row>
    <row r="103" spans="2:22">
      <c r="C103" s="12" t="s">
        <v>166</v>
      </c>
      <c r="D103" s="119">
        <f>D74-D60</f>
        <v>8.3262122259357412</v>
      </c>
      <c r="F103" s="119">
        <f>F74-F60</f>
        <v>8.9399184601632697</v>
      </c>
      <c r="H103" s="119">
        <f>H74-H60</f>
        <v>9.1253154219675352</v>
      </c>
      <c r="I103" s="119">
        <f>I74-I60</f>
        <v>9.1253154219675352</v>
      </c>
      <c r="K103" s="119">
        <f>K74-K60</f>
        <v>8.4303023973907045</v>
      </c>
      <c r="L103" s="119">
        <f>L74-L60</f>
        <v>8.433520622814207</v>
      </c>
      <c r="N103" s="119">
        <f>N74-N60</f>
        <v>9.0501118094938633</v>
      </c>
      <c r="O103" s="119">
        <f>O74-O60</f>
        <v>9.1799347114928835</v>
      </c>
      <c r="Q103" s="119">
        <f>Q74-Q60</f>
        <v>8.8200808171831326</v>
      </c>
      <c r="R103" s="119">
        <f>R74-R60</f>
        <v>9.2743729051134309</v>
      </c>
      <c r="T103" s="119">
        <f>T74-T60</f>
        <v>8.6000000000000014</v>
      </c>
      <c r="V103" s="9">
        <f>V59-V60</f>
        <v>7.7000000000000028</v>
      </c>
    </row>
    <row r="104" spans="2:22">
      <c r="C104" s="7" t="s">
        <v>17</v>
      </c>
      <c r="D104" s="28">
        <f>D51/(D103*4.18)*3.6</f>
        <v>168.10690646874568</v>
      </c>
      <c r="F104" s="28">
        <f>F51/(F103*4.18)*3.6</f>
        <v>179.28706475470145</v>
      </c>
      <c r="H104" s="28">
        <f>H51/(H103*4.18)*3.6</f>
        <v>175.64453016172629</v>
      </c>
      <c r="I104" s="28">
        <f>I51/(I103*4.18)*3.6</f>
        <v>175.64453016172629</v>
      </c>
      <c r="K104" s="28">
        <f>K51/(K103*4.18)*3.6</f>
        <v>174.60898366498654</v>
      </c>
      <c r="L104" s="28">
        <f>L51/(L103*4.18)*3.6</f>
        <v>174.75482086931908</v>
      </c>
      <c r="N104" s="28">
        <f>N51/(N103*4.18)*3.6</f>
        <v>176.31211247935107</v>
      </c>
      <c r="O104" s="28">
        <f>O51/(O103*4.18)*3.6</f>
        <v>176.84418141392757</v>
      </c>
      <c r="Q104" s="28">
        <f>Q51/(Q103*4.18)*3.6</f>
        <v>173.39362686114009</v>
      </c>
      <c r="R104" s="28">
        <f>R51/(R103*4.18)*3.6</f>
        <v>174.07740612775595</v>
      </c>
      <c r="T104" s="28">
        <f>T51/(T103*4.18)*3.6</f>
        <v>162.75509068654725</v>
      </c>
      <c r="V104" s="28">
        <f>V51/(V103*4.18)*3.6</f>
        <v>209.43726320038593</v>
      </c>
    </row>
    <row r="105" spans="2:22">
      <c r="F105" s="95"/>
      <c r="H105" s="95"/>
      <c r="I105" s="95"/>
      <c r="K105" s="95"/>
      <c r="L105" s="95"/>
      <c r="N105" s="95"/>
      <c r="O105" s="95"/>
      <c r="Q105" s="95"/>
      <c r="R105" s="95"/>
    </row>
    <row r="106" spans="2:22">
      <c r="C106" s="1" t="s">
        <v>167</v>
      </c>
      <c r="D106" s="97">
        <f>D83+D69</f>
        <v>1602.7819147133373</v>
      </c>
      <c r="E106" s="97"/>
      <c r="F106" s="120">
        <f>F83+F69</f>
        <v>1723.1196170057838</v>
      </c>
      <c r="H106" s="120">
        <f>H83+H69</f>
        <v>1758.8538513874535</v>
      </c>
      <c r="I106" s="120">
        <f>I83+I69</f>
        <v>1758.8538513874535</v>
      </c>
      <c r="K106" s="120">
        <f>K83+K69</f>
        <v>1624.8939510837395</v>
      </c>
      <c r="L106" s="120">
        <f>L83+L69</f>
        <v>1625.5142461550895</v>
      </c>
      <c r="N106" s="120">
        <f>N83+N69</f>
        <v>1744.358772881001</v>
      </c>
      <c r="O106" s="120">
        <f>O83+O69</f>
        <v>1769.3814160029665</v>
      </c>
      <c r="Q106" s="120">
        <f>Q83+Q69</f>
        <v>1700.0215770630646</v>
      </c>
      <c r="R106" s="120">
        <f>R83+R69</f>
        <v>1787.5838531666973</v>
      </c>
      <c r="T106" s="97">
        <f>T83+T69</f>
        <v>1587.6146694411686</v>
      </c>
    </row>
    <row r="107" spans="2:22">
      <c r="C107" s="1" t="s">
        <v>168</v>
      </c>
      <c r="D107" s="97">
        <f>D51</f>
        <v>1625.2</v>
      </c>
      <c r="F107" s="120">
        <f>F51</f>
        <v>1861.0425201812773</v>
      </c>
      <c r="H107" s="120">
        <f>H51</f>
        <v>1861.0425201812773</v>
      </c>
      <c r="I107" s="120">
        <f>I51</f>
        <v>1861.0425201812773</v>
      </c>
      <c r="K107" s="120">
        <f>K51</f>
        <v>1709.1631417875005</v>
      </c>
      <c r="L107" s="120">
        <f>L51</f>
        <v>1711.2436812175524</v>
      </c>
      <c r="N107" s="120">
        <f>N51</f>
        <v>1852.7203624610704</v>
      </c>
      <c r="O107" s="120">
        <f>O51</f>
        <v>1884.9687236268721</v>
      </c>
      <c r="Q107" s="120">
        <f>Q51</f>
        <v>1775.7404035491559</v>
      </c>
      <c r="R107" s="120">
        <f>R51</f>
        <v>1874.5660264766134</v>
      </c>
      <c r="T107" s="97">
        <f>T51</f>
        <v>1625.2</v>
      </c>
    </row>
    <row r="108" spans="2:22">
      <c r="D108" s="97">
        <f>D106-D107</f>
        <v>-22.418085286662745</v>
      </c>
      <c r="F108" s="97">
        <f>F106-F107</f>
        <v>-137.9229031754935</v>
      </c>
      <c r="H108" s="97">
        <f>H106-H107</f>
        <v>-102.18866879382381</v>
      </c>
      <c r="I108" s="97">
        <f>I106-I107</f>
        <v>-102.18866879382381</v>
      </c>
      <c r="K108" s="97">
        <f>K106-K107</f>
        <v>-84.269190703761069</v>
      </c>
      <c r="L108" s="97">
        <f>L106-L107</f>
        <v>-85.729435062462926</v>
      </c>
      <c r="N108" s="97">
        <f>N106-N107</f>
        <v>-108.36158958006945</v>
      </c>
      <c r="O108" s="97">
        <f>O106-O107</f>
        <v>-115.58730762390564</v>
      </c>
      <c r="Q108" s="97">
        <f>Q106-Q107</f>
        <v>-75.718826486091302</v>
      </c>
      <c r="R108" s="97">
        <f>R106-R107</f>
        <v>-86.982173309916107</v>
      </c>
      <c r="T108" s="97">
        <f>T106-T107</f>
        <v>-37.585330558831402</v>
      </c>
    </row>
    <row r="111" spans="2:22">
      <c r="B111" s="99"/>
      <c r="C111" s="7"/>
      <c r="D111" s="9"/>
      <c r="E111" s="85"/>
      <c r="F111" s="9"/>
      <c r="G111" s="82"/>
      <c r="H111" s="9"/>
      <c r="I111" s="9"/>
      <c r="K111" s="9"/>
      <c r="L111" s="9"/>
      <c r="N111" s="9"/>
      <c r="O111" s="9"/>
      <c r="Q111" s="9"/>
      <c r="R111" s="9"/>
      <c r="T111" s="9"/>
      <c r="U111" s="82"/>
      <c r="V111" s="9">
        <v>47</v>
      </c>
    </row>
    <row r="112" spans="2:22">
      <c r="B112" s="99"/>
      <c r="E112" s="85"/>
    </row>
    <row r="129" spans="3:22">
      <c r="C129" s="1" t="s">
        <v>137</v>
      </c>
      <c r="F129" s="75">
        <f>F103/(F55-F61)</f>
        <v>0.1629955120950401</v>
      </c>
      <c r="H129" s="75">
        <f>H103/(H55-H61)</f>
        <v>0.1734654085396469</v>
      </c>
      <c r="I129" s="75">
        <f>I103/(I55-I61)</f>
        <v>0.1734654085396469</v>
      </c>
      <c r="J129" s="75"/>
      <c r="K129" s="75">
        <f>K103/(K55-K61)</f>
        <v>0.16752791680257015</v>
      </c>
      <c r="L129" s="75">
        <f>L103/(L55-L61)</f>
        <v>0.16440933724843218</v>
      </c>
      <c r="M129" s="75"/>
      <c r="N129" s="75">
        <f>N103/(N55-N61)</f>
        <v>0.14889777703082288</v>
      </c>
      <c r="O129" s="75">
        <f>O103/(O55-O61)</f>
        <v>0.14966584063610031</v>
      </c>
      <c r="P129" s="75"/>
      <c r="Q129" s="75">
        <f>Q103/(Q55-Q61)</f>
        <v>0.18426737723995662</v>
      </c>
      <c r="R129" s="75">
        <f>R103/(R55-R61)</f>
        <v>0.19917508343864418</v>
      </c>
      <c r="S129" s="75"/>
    </row>
    <row r="130" spans="3:22">
      <c r="C130" s="1" t="s">
        <v>153</v>
      </c>
      <c r="F130" s="75">
        <f>(F55-F111)/F103</f>
        <v>10.257457005887133</v>
      </c>
      <c r="H130" s="75">
        <f>(H55-H111)/H103</f>
        <v>9.6909173095698886</v>
      </c>
      <c r="I130" s="75">
        <f>(I55-I111)/I103</f>
        <v>9.6909173095698886</v>
      </c>
      <c r="J130" s="75"/>
      <c r="K130" s="75">
        <f>(K55-K111)/K103</f>
        <v>9.6378511908597737</v>
      </c>
      <c r="L130" s="75">
        <f>(L55-L111)/L103</f>
        <v>9.7515620911065106</v>
      </c>
      <c r="M130" s="75"/>
      <c r="N130" s="75">
        <f>(N55-N111)/N103</f>
        <v>9.7899342975028993</v>
      </c>
      <c r="O130" s="75">
        <f>(O55-O111)/O103</f>
        <v>9.7135767085971754</v>
      </c>
      <c r="P130" s="75"/>
      <c r="Q130" s="75">
        <f>(Q55-Q111)/Q103</f>
        <v>10.063399853103304</v>
      </c>
      <c r="R130" s="75">
        <f>(R55-R111)/R103</f>
        <v>9.427052469692633</v>
      </c>
      <c r="S130" s="75"/>
    </row>
    <row r="138" spans="3:22">
      <c r="C138" s="17" t="s">
        <v>23</v>
      </c>
      <c r="D138" s="18">
        <f>D139/D80*10^6</f>
        <v>9.7783689780612768</v>
      </c>
      <c r="F138" s="18">
        <f>F139/F80*10^6</f>
        <v>8.4310091970868228</v>
      </c>
      <c r="H138" s="18">
        <f>H139/H80*10^6</f>
        <v>9.1520464726245709</v>
      </c>
      <c r="I138" s="18">
        <f>I139/I80*10^6</f>
        <v>9.1520464726245709</v>
      </c>
      <c r="J138" s="18"/>
      <c r="K138" s="18">
        <f>K139/K80*10^6</f>
        <v>10.947995491180762</v>
      </c>
      <c r="L138" s="18">
        <f>L139/L80*10^6</f>
        <v>10.684387968448567</v>
      </c>
      <c r="M138" s="18"/>
      <c r="N138" s="18">
        <f>N139/N80*10^6</f>
        <v>9.1135631330060409</v>
      </c>
      <c r="O138" s="18">
        <f>O139/O80*10^6</f>
        <v>8.983697005024263</v>
      </c>
      <c r="P138" s="18"/>
      <c r="Q138" s="18">
        <f>Q139/Q80*10^6</f>
        <v>9.076916644362484</v>
      </c>
      <c r="R138" s="18">
        <f>R139/R80*10^6</f>
        <v>9.3860257442003032</v>
      </c>
      <c r="S138" s="18"/>
      <c r="T138" s="18">
        <f>T139/T80*10^6</f>
        <v>9.7783689780612768</v>
      </c>
      <c r="V138" s="88">
        <f>V139/V79*10^6</f>
        <v>9.0648355563413379</v>
      </c>
    </row>
    <row r="139" spans="3:22">
      <c r="C139" s="17" t="s">
        <v>24</v>
      </c>
      <c r="D139" s="19">
        <f>[2]!mu_("BREOXB35",D39,D55+273)</f>
        <v>9.5828015985000518E-3</v>
      </c>
      <c r="F139" s="19">
        <f>[2]!mu_("BREOXB35",F39,F55+273)</f>
        <v>8.2623890131450859E-3</v>
      </c>
      <c r="H139" s="19">
        <f>[2]!mu_("BREOXB35",H39,H55+273)</f>
        <v>8.9690055431720806E-3</v>
      </c>
      <c r="I139" s="19">
        <f>[2]!mu_("BREOXB35",I39,I55+273)</f>
        <v>8.9690055431720806E-3</v>
      </c>
      <c r="J139" s="19"/>
      <c r="K139" s="19">
        <f>[2]!mu_("BREOXB35",K39,K55+273)</f>
        <v>1.0729035581357148E-2</v>
      </c>
      <c r="L139" s="19">
        <f>[2]!mu_("BREOXB35",L39,L55+273)</f>
        <v>1.0470700209079597E-2</v>
      </c>
      <c r="M139" s="19"/>
      <c r="N139" s="19">
        <f>[2]!mu_("BREOXB35",N39,N55+273)</f>
        <v>8.9312918703459195E-3</v>
      </c>
      <c r="O139" s="19">
        <f>[2]!mu_("BREOXB35",O39,O55+273)</f>
        <v>8.8040230649237775E-3</v>
      </c>
      <c r="P139" s="19"/>
      <c r="Q139" s="19">
        <f>[2]!mu_("BREOXB35",Q39,Q55+273)</f>
        <v>8.8953783114752352E-3</v>
      </c>
      <c r="R139" s="19">
        <f>[2]!mu_("BREOXB35",R39,R55+273)</f>
        <v>9.1983052293162972E-3</v>
      </c>
      <c r="S139" s="19"/>
      <c r="T139" s="19">
        <f>[2]!mu_("BREOXB35",T39,T55+273)</f>
        <v>9.5828015985000518E-3</v>
      </c>
      <c r="V139" s="19">
        <f>[2]!mu_("BREOXB35",V39,V55+273)</f>
        <v>7.5691376895450167E-3</v>
      </c>
    </row>
    <row r="142" spans="3:22">
      <c r="D142" s="97">
        <f>D83-D92</f>
        <v>0</v>
      </c>
      <c r="F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7">
        <f>T83-T92</f>
        <v>0</v>
      </c>
    </row>
    <row r="143" spans="3:22">
      <c r="D143" s="1">
        <f>D90/429.82</f>
        <v>0.15980125622244376</v>
      </c>
      <c r="T143" s="1">
        <f>T90/429.82</f>
        <v>0.17471100017366797</v>
      </c>
    </row>
    <row r="144" spans="3:22">
      <c r="C144" s="1" t="s">
        <v>136</v>
      </c>
      <c r="D144" s="1">
        <v>0.14510000000000001</v>
      </c>
      <c r="T144" s="1">
        <v>0.14510000000000001</v>
      </c>
    </row>
    <row r="145" spans="3:20">
      <c r="D145" s="1">
        <v>0.62909999999999999</v>
      </c>
      <c r="T145" s="1">
        <v>0.62909999999999999</v>
      </c>
    </row>
    <row r="146" spans="3:20">
      <c r="D146" s="1">
        <f>1/(1/D144+1/D145)</f>
        <v>0.11790546370446912</v>
      </c>
      <c r="T146" s="1">
        <f>1/(1/T144+1/T145)</f>
        <v>0.11790546370446912</v>
      </c>
    </row>
    <row r="147" spans="3:20">
      <c r="C147"/>
    </row>
    <row r="148" spans="3:20">
      <c r="C148"/>
    </row>
    <row r="149" spans="3:20" ht="15">
      <c r="C149" s="65" t="s">
        <v>137</v>
      </c>
      <c r="D149" s="1">
        <f>2895.06*10^3</f>
        <v>2895060</v>
      </c>
      <c r="E149" s="1" t="s">
        <v>142</v>
      </c>
      <c r="F149" s="1">
        <f>F150*F151*F152</f>
        <v>3292958.4749999996</v>
      </c>
      <c r="H149" s="1">
        <f>H150*H151*H152</f>
        <v>3292958.4749999996</v>
      </c>
      <c r="I149" s="1">
        <f>I150*I151*I152</f>
        <v>3292958.4749999996</v>
      </c>
      <c r="K149" s="1">
        <f>K150*K151*K152</f>
        <v>3292958.4749999996</v>
      </c>
      <c r="L149" s="1">
        <f>L150*L151*L152</f>
        <v>3292958.4749999996</v>
      </c>
      <c r="N149" s="1">
        <f>N150*N151*N152</f>
        <v>3292958.4749999996</v>
      </c>
      <c r="O149" s="1">
        <f>O150*O151*O152</f>
        <v>3292958.4749999996</v>
      </c>
      <c r="Q149" s="1">
        <f>Q150*Q151*Q152</f>
        <v>3292958.4749999996</v>
      </c>
      <c r="R149" s="1">
        <f>R150*R151*R152</f>
        <v>3292958.4749999996</v>
      </c>
      <c r="T149" s="1">
        <f>2895.06*10^3</f>
        <v>2895060</v>
      </c>
    </row>
    <row r="150" spans="3:20">
      <c r="C150" s="1" t="s">
        <v>133</v>
      </c>
      <c r="D150" s="1">
        <f>20.43</f>
        <v>20.43</v>
      </c>
      <c r="F150" s="1">
        <f>20.43</f>
        <v>20.43</v>
      </c>
      <c r="H150" s="1">
        <f>20.43</f>
        <v>20.43</v>
      </c>
      <c r="I150" s="1">
        <f>20.43</f>
        <v>20.43</v>
      </c>
      <c r="K150" s="1">
        <f>20.43</f>
        <v>20.43</v>
      </c>
      <c r="L150" s="1">
        <f>20.43</f>
        <v>20.43</v>
      </c>
      <c r="N150" s="1">
        <f>20.43</f>
        <v>20.43</v>
      </c>
      <c r="O150" s="1">
        <f>20.43</f>
        <v>20.43</v>
      </c>
      <c r="Q150" s="1">
        <f>20.43</f>
        <v>20.43</v>
      </c>
      <c r="R150" s="1">
        <f>20.43</f>
        <v>20.43</v>
      </c>
      <c r="T150" s="1">
        <f>20.43</f>
        <v>20.43</v>
      </c>
    </row>
    <row r="151" spans="3:20">
      <c r="C151" s="1" t="s">
        <v>145</v>
      </c>
      <c r="D151" s="1">
        <v>429.82</v>
      </c>
      <c r="E151" s="1" t="s">
        <v>146</v>
      </c>
      <c r="F151" s="1">
        <v>429.82</v>
      </c>
      <c r="H151" s="1">
        <v>429.82</v>
      </c>
      <c r="I151" s="1">
        <v>429.82</v>
      </c>
      <c r="K151" s="1">
        <v>429.82</v>
      </c>
      <c r="L151" s="1">
        <v>429.82</v>
      </c>
      <c r="N151" s="1">
        <v>429.82</v>
      </c>
      <c r="O151" s="1">
        <v>429.82</v>
      </c>
      <c r="Q151" s="1">
        <v>429.82</v>
      </c>
      <c r="R151" s="1">
        <v>429.82</v>
      </c>
      <c r="T151" s="1">
        <v>429.82</v>
      </c>
    </row>
    <row r="152" spans="3:20">
      <c r="C152" s="1" t="s">
        <v>144</v>
      </c>
      <c r="D152" s="1">
        <f>D149/(D150*D151)</f>
        <v>329.68757676180536</v>
      </c>
      <c r="E152" s="1" t="s">
        <v>143</v>
      </c>
      <c r="F152" s="1">
        <v>375</v>
      </c>
      <c r="H152" s="1">
        <v>375</v>
      </c>
      <c r="I152" s="1">
        <v>375</v>
      </c>
      <c r="K152" s="1">
        <v>375</v>
      </c>
      <c r="L152" s="1">
        <v>375</v>
      </c>
      <c r="N152" s="1">
        <v>375</v>
      </c>
      <c r="O152" s="1">
        <v>375</v>
      </c>
      <c r="Q152" s="1">
        <v>375</v>
      </c>
      <c r="R152" s="1">
        <v>375</v>
      </c>
      <c r="T152" s="1">
        <f>T149/(T150*T151)</f>
        <v>329.68757676180536</v>
      </c>
    </row>
    <row r="153" spans="3:20">
      <c r="D153" s="1">
        <f>374/D152</f>
        <v>1.1344073188120454</v>
      </c>
      <c r="F153" s="1">
        <f>1/F152</f>
        <v>2.6666666666666666E-3</v>
      </c>
      <c r="H153" s="1">
        <f>1/H152</f>
        <v>2.6666666666666666E-3</v>
      </c>
      <c r="I153" s="1">
        <f>1/I152</f>
        <v>2.6666666666666666E-3</v>
      </c>
      <c r="K153" s="1">
        <f>1/K152</f>
        <v>2.6666666666666666E-3</v>
      </c>
      <c r="L153" s="1">
        <f>1/L152</f>
        <v>2.6666666666666666E-3</v>
      </c>
      <c r="N153" s="1">
        <f>1/N152</f>
        <v>2.6666666666666666E-3</v>
      </c>
      <c r="O153" s="1">
        <f>1/O152</f>
        <v>2.6666666666666666E-3</v>
      </c>
      <c r="Q153" s="1">
        <f>1/Q152</f>
        <v>2.6666666666666666E-3</v>
      </c>
      <c r="R153" s="1">
        <f>1/R152</f>
        <v>2.6666666666666666E-3</v>
      </c>
      <c r="T153" s="1">
        <f>374/T152</f>
        <v>1.1344073188120454</v>
      </c>
    </row>
  </sheetData>
  <pageMargins left="0.7" right="0.7" top="0.75" bottom="0.75" header="0.3" footer="0.3"/>
  <pageSetup paperSize="9" orientation="portrait" r:id="rId1"/>
  <drawing r:id="rId2"/>
  <legacyDrawing r:id="rId3"/>
  <oleObjects>
    <oleObject progId="Equation.3" shapeId="5121" r:id="rId4"/>
    <oleObject progId="Equation.3" shapeId="5122" r:id="rId5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F154"/>
  <sheetViews>
    <sheetView topLeftCell="A46" zoomScale="85" zoomScaleNormal="85" workbookViewId="0">
      <selection activeCell="D75" sqref="D75"/>
    </sheetView>
  </sheetViews>
  <sheetFormatPr defaultRowHeight="12.75" outlineLevelRow="1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2.85546875" style="1" customWidth="1"/>
    <col min="6" max="6" width="24" style="1" customWidth="1"/>
    <col min="7" max="16384" width="9.140625" style="1"/>
  </cols>
  <sheetData>
    <row r="1" spans="1:6">
      <c r="C1" s="133" t="s">
        <v>177</v>
      </c>
    </row>
    <row r="2" spans="1:6">
      <c r="A2" s="43" t="s">
        <v>66</v>
      </c>
      <c r="B2" s="20">
        <f>[1]!MolarMass("air")</f>
        <v>28.958600656000002</v>
      </c>
      <c r="C2" s="133" t="s">
        <v>178</v>
      </c>
    </row>
    <row r="3" spans="1:6">
      <c r="A3" s="43"/>
      <c r="B3" s="20"/>
      <c r="C3" s="131" t="s">
        <v>180</v>
      </c>
      <c r="D3" s="132">
        <v>2.63</v>
      </c>
      <c r="F3" s="132">
        <v>2.63</v>
      </c>
    </row>
    <row r="4" spans="1:6">
      <c r="A4" s="43" t="s">
        <v>64</v>
      </c>
      <c r="B4" s="20">
        <f>[1]!density("air","TP","SI with C",0,1/10)</f>
        <v>1.2758162153163073</v>
      </c>
      <c r="C4" s="134" t="s">
        <v>181</v>
      </c>
      <c r="D4" s="135">
        <v>3.65</v>
      </c>
      <c r="F4" s="135">
        <v>3.65</v>
      </c>
    </row>
    <row r="5" spans="1:6">
      <c r="C5" s="131" t="s">
        <v>182</v>
      </c>
      <c r="D5" s="132">
        <v>5.8</v>
      </c>
      <c r="F5" s="132">
        <v>5.8</v>
      </c>
    </row>
    <row r="6" spans="1:6">
      <c r="C6" s="1" t="s">
        <v>178</v>
      </c>
      <c r="D6" s="1">
        <f>D4^1.66</f>
        <v>8.5783972744961066</v>
      </c>
      <c r="F6" s="1">
        <f>F4^1.66</f>
        <v>8.5783972744961066</v>
      </c>
    </row>
    <row r="8" spans="1:6">
      <c r="A8" s="1">
        <f>[1]!MolarMass(C15)</f>
        <v>4.0026020000000004</v>
      </c>
    </row>
    <row r="9" spans="1:6">
      <c r="A9" s="1">
        <f>[1]!MolarMass(C16)</f>
        <v>28.013480000000001</v>
      </c>
    </row>
    <row r="10" spans="1:6">
      <c r="A10" s="1">
        <f>[1]!MolarMass(C17)</f>
        <v>16.0428</v>
      </c>
    </row>
    <row r="11" spans="1:6">
      <c r="A11" s="1">
        <f>[1]!MolarMass(C18)</f>
        <v>39.948</v>
      </c>
      <c r="D11" s="48" t="s">
        <v>198</v>
      </c>
      <c r="F11" s="48" t="s">
        <v>197</v>
      </c>
    </row>
    <row r="12" spans="1:6">
      <c r="A12" s="1">
        <f>[1]!MolarMass(C19)</f>
        <v>2.0158800000000001</v>
      </c>
    </row>
    <row r="13" spans="1:6">
      <c r="A13" s="1">
        <f>[1]!MolarMass(C20)</f>
        <v>28.958600656000002</v>
      </c>
      <c r="C13" s="7" t="s">
        <v>123</v>
      </c>
      <c r="D13" s="144" t="str">
        <f>[1]!FluidString($C$15:$C$22,D15:D22)</f>
        <v>helium;1</v>
      </c>
      <c r="F13" s="144" t="s">
        <v>82</v>
      </c>
    </row>
    <row r="14" spans="1:6" outlineLevel="1">
      <c r="A14" s="1">
        <f>[1]!MolarMass(C21)</f>
        <v>28.010100000000001</v>
      </c>
      <c r="C14" s="32" t="s">
        <v>48</v>
      </c>
      <c r="D14" s="32" t="s">
        <v>49</v>
      </c>
      <c r="F14" s="32" t="s">
        <v>49</v>
      </c>
    </row>
    <row r="15" spans="1:6" outlineLevel="1">
      <c r="A15" s="1">
        <f>[1]!MolarMass(C22)</f>
        <v>31.998799999999999</v>
      </c>
      <c r="C15" s="33" t="s">
        <v>54</v>
      </c>
      <c r="D15" s="41">
        <v>1</v>
      </c>
      <c r="F15" s="41">
        <v>1</v>
      </c>
    </row>
    <row r="16" spans="1:6" outlineLevel="1">
      <c r="C16" s="33" t="s">
        <v>50</v>
      </c>
      <c r="D16" s="41">
        <v>0</v>
      </c>
      <c r="F16" s="41">
        <v>0</v>
      </c>
    </row>
    <row r="17" spans="3:6" outlineLevel="1">
      <c r="C17" s="33" t="s">
        <v>55</v>
      </c>
      <c r="D17" s="41">
        <v>0</v>
      </c>
      <c r="F17" s="41">
        <v>0</v>
      </c>
    </row>
    <row r="18" spans="3:6" outlineLevel="1">
      <c r="C18" s="33" t="s">
        <v>51</v>
      </c>
      <c r="D18" s="41">
        <v>0</v>
      </c>
      <c r="F18" s="41">
        <v>0</v>
      </c>
    </row>
    <row r="19" spans="3:6" outlineLevel="1">
      <c r="C19" s="33" t="s">
        <v>56</v>
      </c>
      <c r="D19" s="41">
        <v>0</v>
      </c>
      <c r="F19" s="41">
        <v>0</v>
      </c>
    </row>
    <row r="20" spans="3:6" outlineLevel="1">
      <c r="C20" s="33" t="s">
        <v>82</v>
      </c>
      <c r="D20" s="41">
        <v>0</v>
      </c>
      <c r="F20" s="41">
        <v>0</v>
      </c>
    </row>
    <row r="21" spans="3:6" outlineLevel="1">
      <c r="C21" s="33" t="s">
        <v>57</v>
      </c>
      <c r="D21" s="41">
        <v>0</v>
      </c>
      <c r="F21" s="41">
        <v>0</v>
      </c>
    </row>
    <row r="22" spans="3:6" outlineLevel="1">
      <c r="C22" s="33" t="s">
        <v>52</v>
      </c>
      <c r="D22" s="41">
        <v>0</v>
      </c>
      <c r="F22" s="41">
        <v>0</v>
      </c>
    </row>
    <row r="23" spans="3:6" outlineLevel="1">
      <c r="C23" s="34" t="s">
        <v>53</v>
      </c>
      <c r="D23" s="35">
        <f>SUM(D15:D22)</f>
        <v>1</v>
      </c>
      <c r="F23" s="35">
        <f>SUM(F15:F22)</f>
        <v>1</v>
      </c>
    </row>
    <row r="24" spans="3:6">
      <c r="D24" s="6"/>
      <c r="F24" s="6"/>
    </row>
    <row r="25" spans="3:6">
      <c r="C25" s="7" t="s">
        <v>125</v>
      </c>
      <c r="D25" s="37">
        <v>6540</v>
      </c>
      <c r="F25" s="37">
        <v>6540</v>
      </c>
    </row>
    <row r="27" spans="3:6">
      <c r="C27" s="7" t="s">
        <v>114</v>
      </c>
      <c r="D27" s="45">
        <v>0.82203058218450165</v>
      </c>
      <c r="F27" s="45">
        <v>0.82203058218450165</v>
      </c>
    </row>
    <row r="28" spans="3:6">
      <c r="C28" s="7" t="s">
        <v>68</v>
      </c>
      <c r="D28" s="46">
        <f>D25*D27</f>
        <v>5376.0800074866411</v>
      </c>
      <c r="F28" s="46">
        <f>F25*F27</f>
        <v>5376.0800074866411</v>
      </c>
    </row>
    <row r="29" spans="3:6">
      <c r="C29" s="7" t="s">
        <v>128</v>
      </c>
      <c r="D29" s="56">
        <f>D28*D38*273.15/(273.15+D36)</f>
        <v>4923.8386292422956</v>
      </c>
      <c r="F29" s="56">
        <f>F28*F38*273.15/(273.15+F36)</f>
        <v>4923.8386292422956</v>
      </c>
    </row>
    <row r="30" spans="3:6">
      <c r="C30" s="7" t="s">
        <v>129</v>
      </c>
      <c r="D30" s="81">
        <f>D31*3.6</f>
        <v>867.36930702401332</v>
      </c>
      <c r="F30" s="81">
        <f>F31*3.6</f>
        <v>6279.5100847588565</v>
      </c>
    </row>
    <row r="31" spans="3:6">
      <c r="C31" s="7" t="s">
        <v>130</v>
      </c>
      <c r="D31" s="47">
        <f>D28*D99*1000/3600</f>
        <v>240.93591861778148</v>
      </c>
      <c r="F31" s="47">
        <f>F28*F99*1000/3600</f>
        <v>1744.30835687746</v>
      </c>
    </row>
    <row r="32" spans="3:6">
      <c r="C32" s="7" t="s">
        <v>2</v>
      </c>
      <c r="D32" s="42">
        <f>[1]!MolarMass(D13)</f>
        <v>4.0026020000000004</v>
      </c>
      <c r="F32" s="42">
        <f>[1]!MolarMass(F13)</f>
        <v>28.958600656000002</v>
      </c>
    </row>
    <row r="33" spans="1:6">
      <c r="C33" s="7" t="s">
        <v>3</v>
      </c>
      <c r="D33" s="39">
        <f>[1]!Isentropicexpansioncoef(D13,"TP","SI with C",D36,D38/10)</f>
        <v>1.6673331189482856</v>
      </c>
      <c r="F33" s="39">
        <f>[1]!Isentropicexpansioncoef(F13,"TP","SI with C",F36,F38/10)</f>
        <v>1.4009458127222285</v>
      </c>
    </row>
    <row r="34" spans="1:6">
      <c r="C34" s="7" t="s">
        <v>4</v>
      </c>
      <c r="D34" s="38">
        <f>[1]!IsobaricHeatCapacity(D13,"TP","SI with C",D36,D38/10)</f>
        <v>5.1931870116139844</v>
      </c>
      <c r="F34" s="38">
        <f>[1]!IsobaricHeatCapacity(F13,"TP","SI with C",F36,F38/10)</f>
        <v>1.0072258852222413</v>
      </c>
    </row>
    <row r="35" spans="1:6">
      <c r="C35" s="7" t="s">
        <v>5</v>
      </c>
      <c r="D35" s="8">
        <f>D39/D38</f>
        <v>4.7619047619047619</v>
      </c>
      <c r="F35" s="8">
        <f>F39/F38</f>
        <v>4.7619047619047619</v>
      </c>
    </row>
    <row r="36" spans="1:6">
      <c r="C36" s="7" t="s">
        <v>6</v>
      </c>
      <c r="D36" s="74">
        <v>40</v>
      </c>
      <c r="F36" s="74">
        <v>40</v>
      </c>
    </row>
    <row r="37" spans="1:6">
      <c r="C37" s="7" t="s">
        <v>7</v>
      </c>
      <c r="D37" s="10">
        <v>1.05</v>
      </c>
      <c r="F37" s="10">
        <v>1.05</v>
      </c>
    </row>
    <row r="38" spans="1:6">
      <c r="C38" s="7" t="s">
        <v>7</v>
      </c>
      <c r="D38" s="40">
        <f>D37</f>
        <v>1.05</v>
      </c>
      <c r="F38" s="40">
        <f>F37</f>
        <v>1.05</v>
      </c>
    </row>
    <row r="39" spans="1:6">
      <c r="C39" s="7" t="s">
        <v>8</v>
      </c>
      <c r="D39" s="27">
        <v>5</v>
      </c>
      <c r="F39" s="27">
        <v>5</v>
      </c>
    </row>
    <row r="40" spans="1:6">
      <c r="A40" s="130">
        <f>3.99/1.05</f>
        <v>3.8</v>
      </c>
      <c r="C40" s="7" t="s">
        <v>179</v>
      </c>
      <c r="D40" s="130">
        <f>D39/D38</f>
        <v>4.7619047619047619</v>
      </c>
      <c r="F40" s="130">
        <f>F39/F38</f>
        <v>4.7619047619047619</v>
      </c>
    </row>
    <row r="41" spans="1:6">
      <c r="A41" s="130">
        <f>A40^(1/D33)</f>
        <v>2.2270558595799042</v>
      </c>
      <c r="C41" s="7" t="s">
        <v>183</v>
      </c>
      <c r="D41" s="130">
        <f>D40^(1/D33)</f>
        <v>2.5497985692871237</v>
      </c>
      <c r="F41" s="130">
        <f>F40^(1/F33)</f>
        <v>3.0465073331033183</v>
      </c>
    </row>
    <row r="42" spans="1:6">
      <c r="C42" s="7" t="s">
        <v>184</v>
      </c>
      <c r="D42" s="130">
        <f>D3</f>
        <v>2.63</v>
      </c>
      <c r="F42" s="130">
        <f>F3</f>
        <v>2.63</v>
      </c>
    </row>
    <row r="43" spans="1:6">
      <c r="C43" s="7" t="s">
        <v>185</v>
      </c>
      <c r="D43" s="130">
        <f>D42^D33</f>
        <v>5.0142516715306913</v>
      </c>
      <c r="F43" s="130">
        <f>F42^F33</f>
        <v>3.8755669829769874</v>
      </c>
    </row>
    <row r="44" spans="1:6">
      <c r="C44" s="7" t="s">
        <v>186</v>
      </c>
      <c r="D44" s="136">
        <f>D43/D40</f>
        <v>1.0529928510214452</v>
      </c>
      <c r="E44" s="43"/>
      <c r="F44" s="136">
        <f>F43/F40</f>
        <v>0.81386906642516732</v>
      </c>
    </row>
    <row r="45" spans="1:6">
      <c r="C45" s="7" t="s">
        <v>78</v>
      </c>
      <c r="D45" s="30">
        <f>(D31*8.314/D32*(D36+273.15)*LN(D39/D38)/1000)</f>
        <v>244.58311255241046</v>
      </c>
      <c r="F45" s="30">
        <f>(F31*8.314/F32*(F36+273.15)*LN(F39/F38)/1000)</f>
        <v>244.74454219735134</v>
      </c>
    </row>
    <row r="46" spans="1:6">
      <c r="C46" s="7" t="s">
        <v>79</v>
      </c>
      <c r="D46" s="30">
        <f>D38*10^5*D28/3600*LN(D39/D38)/1000</f>
        <v>244.71320878009621</v>
      </c>
      <c r="F46" s="30">
        <f>F38*10^5*F28/3600*LN(F39/F38)/1000</f>
        <v>244.71320878009621</v>
      </c>
    </row>
    <row r="47" spans="1:6">
      <c r="C47" s="7" t="s">
        <v>117</v>
      </c>
      <c r="D47" s="30">
        <f>(D31*8.314/D32*(D36+273.15)*D33/(D33-1)*((D39/D38)^((D33-1)/D33)-1))/1000</f>
        <v>339.70455776655984</v>
      </c>
      <c r="F47" s="30">
        <f>(F31*8.314/F32*(F36+273.15)*F33/(F33-1)*((F39/F38)^((F33-1)/F33)-1))/1000</f>
        <v>308.5363289763024</v>
      </c>
    </row>
    <row r="48" spans="1:6">
      <c r="A48" s="1">
        <f>38.3</f>
        <v>38.299999999999997</v>
      </c>
      <c r="C48" s="7" t="s">
        <v>69</v>
      </c>
      <c r="D48" s="49">
        <v>0.95</v>
      </c>
      <c r="F48" s="49">
        <v>0.95</v>
      </c>
    </row>
    <row r="49" spans="1:6">
      <c r="A49" s="1">
        <v>35.86</v>
      </c>
      <c r="C49" s="7" t="s">
        <v>131</v>
      </c>
      <c r="D49" s="89">
        <f>D51/(3^0.5*6600*0.91)*1000</f>
        <v>46.141879655514551</v>
      </c>
      <c r="F49" s="89">
        <f>F51/(3^0.5*6600*0.91)*1000</f>
        <v>46.141879655514551</v>
      </c>
    </row>
    <row r="50" spans="1:6">
      <c r="A50" s="1">
        <f>A48-A49</f>
        <v>2.4399999999999977</v>
      </c>
    </row>
    <row r="51" spans="1:6">
      <c r="C51" s="7" t="s">
        <v>10</v>
      </c>
      <c r="D51" s="11">
        <v>480</v>
      </c>
      <c r="F51" s="11">
        <v>480</v>
      </c>
    </row>
    <row r="52" spans="1:6">
      <c r="C52" s="104" t="s">
        <v>9</v>
      </c>
      <c r="D52" s="80">
        <f>D45/D51</f>
        <v>0.50954815115085517</v>
      </c>
      <c r="E52" s="105"/>
      <c r="F52" s="80">
        <f>F45/F51</f>
        <v>0.50988446291114864</v>
      </c>
    </row>
    <row r="53" spans="1:6">
      <c r="C53" s="7" t="s">
        <v>118</v>
      </c>
      <c r="D53" s="64">
        <f>D47/D51</f>
        <v>0.70771782868033306</v>
      </c>
      <c r="F53" s="64">
        <f>F47/F51</f>
        <v>0.64278401870062996</v>
      </c>
    </row>
    <row r="54" spans="1:6">
      <c r="C54" s="7" t="s">
        <v>26</v>
      </c>
      <c r="D54" s="13">
        <f>(273.15+D36)*(D39/D38)^((D33-1)/D33)-273.15</f>
        <v>311.67677579013048</v>
      </c>
      <c r="F54" s="13">
        <f>(273.15+F36)*(F39/F38)^((F33-1)/F33)-273.15</f>
        <v>216.32542649486368</v>
      </c>
    </row>
    <row r="56" spans="1:6">
      <c r="C56" s="12" t="s">
        <v>152</v>
      </c>
      <c r="D56" s="74">
        <v>85.8</v>
      </c>
      <c r="F56" s="74">
        <v>85.8</v>
      </c>
    </row>
    <row r="57" spans="1:6">
      <c r="C57" s="7" t="s">
        <v>15</v>
      </c>
      <c r="D57" s="74">
        <v>45</v>
      </c>
      <c r="F57" s="74">
        <v>45</v>
      </c>
    </row>
    <row r="58" spans="1:6">
      <c r="C58" s="12" t="s">
        <v>174</v>
      </c>
      <c r="D58" s="119">
        <f>D57-D61</f>
        <v>7</v>
      </c>
      <c r="F58" s="119">
        <f>F57-F61</f>
        <v>7</v>
      </c>
    </row>
    <row r="60" spans="1:6">
      <c r="C60" s="7" t="s">
        <v>157</v>
      </c>
      <c r="D60" s="64"/>
      <c r="F60" s="64"/>
    </row>
    <row r="61" spans="1:6">
      <c r="C61" s="113" t="s">
        <v>155</v>
      </c>
      <c r="D61" s="74">
        <v>38</v>
      </c>
      <c r="E61" s="85"/>
      <c r="F61" s="74">
        <v>38</v>
      </c>
    </row>
    <row r="62" spans="1:6">
      <c r="C62" s="113" t="s">
        <v>156</v>
      </c>
      <c r="D62" s="74">
        <v>39</v>
      </c>
      <c r="E62" s="85"/>
      <c r="F62" s="74">
        <v>39</v>
      </c>
    </row>
    <row r="63" spans="1:6">
      <c r="C63" s="114" t="s">
        <v>163</v>
      </c>
      <c r="D63" s="116">
        <f>166000/1000</f>
        <v>166</v>
      </c>
      <c r="E63" s="85"/>
      <c r="F63" s="116">
        <f>166000/1000</f>
        <v>166</v>
      </c>
    </row>
    <row r="64" spans="1:6">
      <c r="C64" s="114" t="s">
        <v>169</v>
      </c>
      <c r="D64" s="111">
        <f>D56</f>
        <v>85.8</v>
      </c>
      <c r="E64" s="85"/>
      <c r="F64" s="111">
        <f>F56</f>
        <v>85.8</v>
      </c>
    </row>
    <row r="65" spans="3:6">
      <c r="C65" s="114" t="s">
        <v>170</v>
      </c>
      <c r="D65" s="111">
        <f>D57</f>
        <v>45</v>
      </c>
      <c r="E65" s="85"/>
      <c r="F65" s="111">
        <f>F57</f>
        <v>45</v>
      </c>
    </row>
    <row r="66" spans="3:6">
      <c r="C66" s="112" t="s">
        <v>133</v>
      </c>
      <c r="D66" s="100">
        <f>((D65-D61)-(D64-D62))/LN((D65-D61)/(D64-D62))</f>
        <v>20.94766550450197</v>
      </c>
      <c r="E66" s="85"/>
      <c r="F66" s="100">
        <f>((F65-F61)-(F64-F62))/LN((F65-F61)/(F64-F62))</f>
        <v>20.94766550450197</v>
      </c>
    </row>
    <row r="67" spans="3:6">
      <c r="C67" s="112" t="s">
        <v>160</v>
      </c>
      <c r="D67" s="30">
        <f>D31*D34*(D64-D65)/1000</f>
        <v>51.049991554443586</v>
      </c>
      <c r="E67" s="85"/>
      <c r="F67" s="30">
        <f>F31*F34*(F64-F65)/1000</f>
        <v>71.682031177343276</v>
      </c>
    </row>
    <row r="68" spans="3:6">
      <c r="C68" s="115" t="s">
        <v>161</v>
      </c>
      <c r="D68" s="18">
        <f>D67/D66</f>
        <v>2.4370253355187561</v>
      </c>
      <c r="E68" s="85"/>
      <c r="F68" s="18">
        <f>F67/F66</f>
        <v>3.4219579819974557</v>
      </c>
    </row>
    <row r="69" spans="3:6">
      <c r="C69" s="115" t="s">
        <v>165</v>
      </c>
      <c r="D69" s="103">
        <f>600/(371*1000/(21.1*58.36))-1</f>
        <v>0.99147601078167136</v>
      </c>
      <c r="E69" s="85"/>
      <c r="F69" s="103">
        <f>600/(371*1000/(21.1*58.36))-1</f>
        <v>0.99147601078167136</v>
      </c>
    </row>
    <row r="70" spans="3:6">
      <c r="C70" s="112" t="s">
        <v>162</v>
      </c>
      <c r="D70" s="92">
        <f>D68*D66</f>
        <v>51.049991554443586</v>
      </c>
      <c r="E70" s="85"/>
      <c r="F70" s="92">
        <f>F68*F66</f>
        <v>71.682031177343276</v>
      </c>
    </row>
    <row r="71" spans="3:6">
      <c r="C71" s="115" t="s">
        <v>164</v>
      </c>
      <c r="D71" s="123">
        <f>D70-D67</f>
        <v>0</v>
      </c>
      <c r="E71" s="124"/>
      <c r="F71" s="123">
        <f>F70-F67</f>
        <v>0</v>
      </c>
    </row>
    <row r="73" spans="3:6">
      <c r="C73" s="7" t="s">
        <v>158</v>
      </c>
      <c r="D73" s="74"/>
      <c r="E73" s="85"/>
      <c r="F73" s="74"/>
    </row>
    <row r="74" spans="3:6">
      <c r="C74" s="113" t="s">
        <v>155</v>
      </c>
      <c r="D74" s="111">
        <f>D62</f>
        <v>39</v>
      </c>
      <c r="E74" s="85"/>
      <c r="F74" s="111">
        <f>F62</f>
        <v>39</v>
      </c>
    </row>
    <row r="75" spans="3:6">
      <c r="C75" s="113" t="s">
        <v>156</v>
      </c>
      <c r="D75" s="74">
        <v>46.6</v>
      </c>
      <c r="E75" s="85"/>
      <c r="F75" s="74">
        <v>46.6</v>
      </c>
    </row>
    <row r="76" spans="3:6">
      <c r="C76" s="114" t="s">
        <v>163</v>
      </c>
      <c r="D76" s="118">
        <f>D63</f>
        <v>166</v>
      </c>
      <c r="E76" s="85"/>
      <c r="F76" s="118">
        <f>F63</f>
        <v>166</v>
      </c>
    </row>
    <row r="77" spans="3:6">
      <c r="C77" s="114" t="s">
        <v>159</v>
      </c>
      <c r="D77" s="111">
        <f>D56</f>
        <v>85.8</v>
      </c>
      <c r="E77" s="85"/>
      <c r="F77" s="111">
        <f>F56</f>
        <v>85.8</v>
      </c>
    </row>
    <row r="78" spans="3:6">
      <c r="C78" s="114" t="s">
        <v>192</v>
      </c>
      <c r="D78" s="74">
        <v>50</v>
      </c>
      <c r="E78" s="85"/>
      <c r="F78" s="74">
        <v>50</v>
      </c>
    </row>
    <row r="79" spans="3:6">
      <c r="C79" s="114" t="s">
        <v>194</v>
      </c>
      <c r="D79" s="74">
        <v>50</v>
      </c>
      <c r="E79" s="85"/>
      <c r="F79" s="74">
        <v>50</v>
      </c>
    </row>
    <row r="80" spans="3:6">
      <c r="C80" s="114" t="s">
        <v>21</v>
      </c>
      <c r="D80" s="86">
        <v>1.95</v>
      </c>
      <c r="E80" s="85"/>
      <c r="F80" s="86">
        <v>1.95</v>
      </c>
    </row>
    <row r="81" spans="3:6">
      <c r="C81" s="114" t="s">
        <v>22</v>
      </c>
      <c r="D81" s="16">
        <v>980</v>
      </c>
      <c r="E81" s="85"/>
      <c r="F81" s="16">
        <v>980</v>
      </c>
    </row>
    <row r="83" spans="3:6">
      <c r="C83" s="7" t="s">
        <v>74</v>
      </c>
      <c r="D83" s="13">
        <f>D54-D56</f>
        <v>225.87677579013047</v>
      </c>
      <c r="F83" s="13">
        <f>F54-F56</f>
        <v>130.52542649486367</v>
      </c>
    </row>
    <row r="84" spans="3:6">
      <c r="C84" s="7" t="s">
        <v>135</v>
      </c>
      <c r="D84" s="92">
        <f>D34*D83*D31/1000/D53</f>
        <v>399.34380808614816</v>
      </c>
      <c r="E84" s="25"/>
      <c r="F84" s="92">
        <f>F34*F83*F31/1000/F53</f>
        <v>356.76331469274169</v>
      </c>
    </row>
    <row r="85" spans="3:6">
      <c r="C85" s="7" t="s">
        <v>190</v>
      </c>
      <c r="D85" s="141">
        <f>D84/(D80*(D56-D79))*3600</f>
        <v>20593.578414412455</v>
      </c>
      <c r="F85" s="141">
        <f>F84/(F80*(F56-F79))*3600</f>
        <v>18397.764401860339</v>
      </c>
    </row>
    <row r="86" spans="3:6">
      <c r="C86" s="7" t="s">
        <v>124</v>
      </c>
      <c r="D86" s="22">
        <f>D85/D81</f>
        <v>21.013855524910667</v>
      </c>
      <c r="F86" s="22">
        <f>F85/F81</f>
        <v>18.773228981490142</v>
      </c>
    </row>
    <row r="87" spans="3:6">
      <c r="C87" s="7" t="s">
        <v>195</v>
      </c>
      <c r="D87" s="103">
        <v>0</v>
      </c>
      <c r="F87" s="103">
        <v>0</v>
      </c>
    </row>
    <row r="88" spans="3:6">
      <c r="C88" s="7" t="s">
        <v>124</v>
      </c>
      <c r="D88" s="77">
        <f>D86*1000/60</f>
        <v>350.23092541517781</v>
      </c>
      <c r="F88" s="77">
        <f>F86*1000/60</f>
        <v>312.88714969150237</v>
      </c>
    </row>
    <row r="89" spans="3:6">
      <c r="C89" s="7" t="s">
        <v>172</v>
      </c>
      <c r="D89" s="93">
        <v>0.92255515242259667</v>
      </c>
      <c r="E89" s="106"/>
      <c r="F89" s="93">
        <v>0.92255515242259667</v>
      </c>
    </row>
    <row r="90" spans="3:6">
      <c r="C90" s="7" t="s">
        <v>171</v>
      </c>
      <c r="D90" s="18">
        <f>((D77-D75)-(D79-D74))/LN((D77-D75)/(D79-D74))*D89</f>
        <v>20.472485498602115</v>
      </c>
      <c r="F90" s="18">
        <f>((F77-F75)-(F79-F74))/LN((F77-F75)/(F79-F74))*F89</f>
        <v>20.472485498602115</v>
      </c>
    </row>
    <row r="91" spans="3:6">
      <c r="C91" s="7" t="s">
        <v>150</v>
      </c>
      <c r="D91" s="18">
        <f>D84/D90</f>
        <v>19.506366636010846</v>
      </c>
      <c r="F91" s="18">
        <f>F84/F90</f>
        <v>17.426477831287357</v>
      </c>
    </row>
    <row r="92" spans="3:6">
      <c r="C92" s="115" t="s">
        <v>165</v>
      </c>
      <c r="D92" s="103">
        <f>374/(2895*1000/(20.43*429))-1</f>
        <v>0.13226659067357516</v>
      </c>
      <c r="F92" s="103">
        <f>374/(2895*1000/(20.43*429))-1</f>
        <v>0.13226659067357516</v>
      </c>
    </row>
    <row r="93" spans="3:6">
      <c r="C93" s="7" t="s">
        <v>148</v>
      </c>
      <c r="D93" s="92">
        <f>D91*D90</f>
        <v>399.34380808614816</v>
      </c>
      <c r="F93" s="92">
        <f>F91*F90</f>
        <v>356.76331469274163</v>
      </c>
    </row>
    <row r="94" spans="3:6">
      <c r="C94" s="115" t="s">
        <v>164</v>
      </c>
      <c r="D94" s="139">
        <f>D84-D93</f>
        <v>0</v>
      </c>
      <c r="E94" s="122"/>
      <c r="F94" s="139">
        <f>F84-F93</f>
        <v>0</v>
      </c>
    </row>
    <row r="97" spans="2:6">
      <c r="C97" s="43" t="s">
        <v>104</v>
      </c>
      <c r="D97" s="75">
        <f>D30/D100</f>
        <v>1127.3899676028648</v>
      </c>
      <c r="F97" s="75">
        <f>F30/F100</f>
        <v>1124.5872633176066</v>
      </c>
    </row>
    <row r="98" spans="2:6">
      <c r="C98" s="43" t="s">
        <v>105</v>
      </c>
      <c r="D98" s="63">
        <f>D86/(D97+D158)</f>
        <v>1.8639384887903333E-2</v>
      </c>
      <c r="F98" s="63">
        <f>F86/(F97+F158)</f>
        <v>1.6693439089918091E-2</v>
      </c>
    </row>
    <row r="99" spans="2:6">
      <c r="C99" s="43" t="s">
        <v>119</v>
      </c>
      <c r="D99" s="1">
        <f>[1]!density(D13,"TP","SI with C",D36,D38/10)</f>
        <v>0.16133861583460979</v>
      </c>
      <c r="F99" s="1">
        <f>[1]!density(F13,"TP","SI with C",F36,F38/10)</f>
        <v>1.1680462485703549</v>
      </c>
    </row>
    <row r="100" spans="2:6">
      <c r="C100" s="43" t="s">
        <v>120</v>
      </c>
      <c r="D100" s="1">
        <f>[1]!density(D13,"TP","SI with C",D62,D39/10)</f>
        <v>0.7693604980965677</v>
      </c>
      <c r="F100" s="1">
        <f>[1]!density(F13,"TP","SI with C",F62,F39/10)</f>
        <v>5.5838353230445517</v>
      </c>
    </row>
    <row r="101" spans="2:6">
      <c r="C101" s="43" t="s">
        <v>126</v>
      </c>
      <c r="D101" s="1">
        <f>[1]!density("helium","TP","SI with C",0,1/10)</f>
        <v>0.1761481440000498</v>
      </c>
      <c r="F101" s="1">
        <f>[1]!density("helium","TP","SI with C",0,1/10)</f>
        <v>0.1761481440000498</v>
      </c>
    </row>
    <row r="104" spans="2:6">
      <c r="C104" s="12" t="s">
        <v>166</v>
      </c>
      <c r="D104" s="119">
        <f>D75-D61</f>
        <v>8.6000000000000014</v>
      </c>
      <c r="F104" s="119">
        <f>F75-F61</f>
        <v>8.6000000000000014</v>
      </c>
    </row>
    <row r="105" spans="2:6">
      <c r="C105" s="7" t="s">
        <v>17</v>
      </c>
      <c r="D105" s="28">
        <f>D51/(D104*4.18)*3.6</f>
        <v>48.069433626349173</v>
      </c>
      <c r="F105" s="28">
        <f>F51/(F104*4.18)*3.6</f>
        <v>48.069433626349173</v>
      </c>
    </row>
    <row r="107" spans="2:6">
      <c r="C107" s="1" t="s">
        <v>167</v>
      </c>
      <c r="D107" s="97">
        <f>D84+D70</f>
        <v>450.39379964059174</v>
      </c>
      <c r="E107" s="97"/>
      <c r="F107" s="97">
        <f>F84+F70</f>
        <v>428.44534587008496</v>
      </c>
    </row>
    <row r="108" spans="2:6">
      <c r="C108" s="1" t="s">
        <v>168</v>
      </c>
      <c r="D108" s="97">
        <f>D51</f>
        <v>480</v>
      </c>
      <c r="F108" s="97">
        <f>F51</f>
        <v>480</v>
      </c>
    </row>
    <row r="109" spans="2:6">
      <c r="D109" s="97">
        <f>D107-D108</f>
        <v>-29.606200359408263</v>
      </c>
      <c r="F109" s="97">
        <f>F107-F108</f>
        <v>-51.554654129915036</v>
      </c>
    </row>
    <row r="112" spans="2:6">
      <c r="B112" s="99"/>
      <c r="C112" s="7"/>
      <c r="D112" s="9"/>
      <c r="E112" s="85"/>
      <c r="F112" s="9"/>
    </row>
    <row r="113" spans="2:5">
      <c r="B113" s="99"/>
      <c r="E113" s="85"/>
    </row>
    <row r="130" spans="3:6">
      <c r="C130" s="1" t="s">
        <v>137</v>
      </c>
    </row>
    <row r="131" spans="3:6">
      <c r="C131" s="1" t="s">
        <v>153</v>
      </c>
    </row>
    <row r="139" spans="3:6">
      <c r="C139" s="17" t="s">
        <v>23</v>
      </c>
      <c r="D139" s="18">
        <f>D140/D81*10^6</f>
        <v>9.7783689780612768</v>
      </c>
      <c r="F139" s="18">
        <f>F140/F81*10^6</f>
        <v>9.7783689780612768</v>
      </c>
    </row>
    <row r="140" spans="3:6">
      <c r="C140" s="17" t="s">
        <v>24</v>
      </c>
      <c r="D140" s="19">
        <f>[2]!mu_("BREOXB35",D39,D56+273)</f>
        <v>9.5828015985000518E-3</v>
      </c>
      <c r="F140" s="19">
        <f>[2]!mu_("BREOXB35",F39,F56+273)</f>
        <v>9.5828015985000518E-3</v>
      </c>
    </row>
    <row r="143" spans="3:6">
      <c r="D143" s="97">
        <f>D84-D93</f>
        <v>0</v>
      </c>
      <c r="F143" s="97">
        <f>F84-F93</f>
        <v>0</v>
      </c>
    </row>
    <row r="144" spans="3:6">
      <c r="D144" s="1">
        <f>D91/429.82</f>
        <v>4.5382640724049246E-2</v>
      </c>
      <c r="F144" s="1">
        <f>F91/429.82</f>
        <v>4.0543664397392765E-2</v>
      </c>
    </row>
    <row r="145" spans="3:6">
      <c r="C145" s="1" t="s">
        <v>136</v>
      </c>
      <c r="D145" s="1">
        <v>0.14510000000000001</v>
      </c>
      <c r="F145" s="1">
        <v>0.14510000000000001</v>
      </c>
    </row>
    <row r="146" spans="3:6">
      <c r="D146" s="1">
        <v>0.62909999999999999</v>
      </c>
      <c r="F146" s="1">
        <v>0.62909999999999999</v>
      </c>
    </row>
    <row r="147" spans="3:6">
      <c r="D147" s="1">
        <f>1/(1/D145+1/D146)</f>
        <v>0.11790546370446912</v>
      </c>
      <c r="F147" s="1">
        <f>1/(1/F145+1/F146)</f>
        <v>0.11790546370446912</v>
      </c>
    </row>
    <row r="148" spans="3:6">
      <c r="C148"/>
    </row>
    <row r="149" spans="3:6">
      <c r="C149"/>
    </row>
    <row r="150" spans="3:6" ht="15">
      <c r="C150" s="65" t="s">
        <v>137</v>
      </c>
      <c r="D150" s="1">
        <f>2895.06*10^3</f>
        <v>2895060</v>
      </c>
      <c r="E150" s="1" t="s">
        <v>142</v>
      </c>
      <c r="F150" s="1">
        <f>2895.06*10^3</f>
        <v>2895060</v>
      </c>
    </row>
    <row r="151" spans="3:6">
      <c r="C151" s="1" t="s">
        <v>133</v>
      </c>
      <c r="D151" s="1">
        <f>20.43</f>
        <v>20.43</v>
      </c>
      <c r="F151" s="1">
        <f>20.43</f>
        <v>20.43</v>
      </c>
    </row>
    <row r="152" spans="3:6">
      <c r="C152" s="1" t="s">
        <v>145</v>
      </c>
      <c r="D152" s="1">
        <v>429.82</v>
      </c>
      <c r="E152" s="1" t="s">
        <v>146</v>
      </c>
      <c r="F152" s="1">
        <v>429.82</v>
      </c>
    </row>
    <row r="153" spans="3:6">
      <c r="C153" s="1" t="s">
        <v>144</v>
      </c>
      <c r="D153" s="1">
        <f>D150/(D151*D152)</f>
        <v>329.68757676180536</v>
      </c>
      <c r="E153" s="1" t="s">
        <v>143</v>
      </c>
      <c r="F153" s="1">
        <f>F150/(F151*F152)</f>
        <v>329.68757676180536</v>
      </c>
    </row>
    <row r="154" spans="3:6">
      <c r="D154" s="1">
        <f>374/D153</f>
        <v>1.1344073188120454</v>
      </c>
      <c r="F154" s="1">
        <f>374/F153</f>
        <v>1.1344073188120454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J156"/>
  <sheetViews>
    <sheetView topLeftCell="B1" zoomScale="85" zoomScaleNormal="85" workbookViewId="0">
      <selection activeCell="H65" sqref="H65"/>
    </sheetView>
  </sheetViews>
  <sheetFormatPr defaultRowHeight="12.75" outlineLevelRow="1"/>
  <cols>
    <col min="1" max="1" width="9.140625" style="1"/>
    <col min="2" max="2" width="19.28515625" style="1" bestFit="1" customWidth="1"/>
    <col min="3" max="3" width="47.42578125" style="1" customWidth="1"/>
    <col min="4" max="4" width="24" style="1" customWidth="1"/>
    <col min="5" max="5" width="2.85546875" style="1" customWidth="1"/>
    <col min="6" max="6" width="24" style="1" customWidth="1"/>
    <col min="7" max="7" width="3.28515625" style="1" customWidth="1"/>
    <col min="8" max="8" width="24" style="1" customWidth="1"/>
    <col min="9" max="9" width="9.140625" style="1"/>
    <col min="10" max="10" width="24" style="1" customWidth="1"/>
    <col min="11" max="16384" width="9.140625" style="1"/>
  </cols>
  <sheetData>
    <row r="1" spans="1:10">
      <c r="C1" s="133" t="s">
        <v>177</v>
      </c>
    </row>
    <row r="2" spans="1:10">
      <c r="A2" s="43" t="s">
        <v>66</v>
      </c>
      <c r="B2" s="20">
        <f>[1]!MolarMass("air")</f>
        <v>28.958600656000002</v>
      </c>
      <c r="C2" s="133" t="s">
        <v>178</v>
      </c>
    </row>
    <row r="3" spans="1:10">
      <c r="A3" s="43"/>
      <c r="B3" s="20"/>
      <c r="C3" s="131" t="s">
        <v>180</v>
      </c>
      <c r="D3" s="132">
        <v>2.63</v>
      </c>
      <c r="H3" s="132">
        <v>2.63</v>
      </c>
      <c r="J3" s="132">
        <v>2.63</v>
      </c>
    </row>
    <row r="4" spans="1:10">
      <c r="A4" s="43" t="s">
        <v>64</v>
      </c>
      <c r="B4" s="20">
        <f>[1]!density("air","TP","SI with C",0,1/10)</f>
        <v>1.2758162153163073</v>
      </c>
      <c r="C4" s="134" t="s">
        <v>181</v>
      </c>
      <c r="D4" s="135">
        <v>3.65</v>
      </c>
      <c r="H4" s="135">
        <v>3.65</v>
      </c>
      <c r="J4" s="135">
        <v>3.65</v>
      </c>
    </row>
    <row r="5" spans="1:10">
      <c r="C5" s="131" t="s">
        <v>182</v>
      </c>
      <c r="D5" s="132">
        <v>5.8</v>
      </c>
      <c r="H5" s="132">
        <v>5.8</v>
      </c>
      <c r="J5" s="132">
        <v>5.8</v>
      </c>
    </row>
    <row r="6" spans="1:10">
      <c r="C6" s="1" t="s">
        <v>178</v>
      </c>
      <c r="D6" s="1">
        <f>D4^1.66</f>
        <v>8.5783972744961066</v>
      </c>
      <c r="H6" s="1">
        <f>H4^1.66</f>
        <v>8.5783972744961066</v>
      </c>
      <c r="J6" s="1">
        <f>J4^1.66</f>
        <v>8.5783972744961066</v>
      </c>
    </row>
    <row r="8" spans="1:10">
      <c r="A8" s="1">
        <f>[1]!MolarMass(C15)</f>
        <v>4.0026020000000004</v>
      </c>
    </row>
    <row r="9" spans="1:10">
      <c r="A9" s="1">
        <f>[1]!MolarMass(C16)</f>
        <v>28.013480000000001</v>
      </c>
    </row>
    <row r="10" spans="1:10">
      <c r="A10" s="1">
        <f>[1]!MolarMass(C17)</f>
        <v>16.0428</v>
      </c>
    </row>
    <row r="11" spans="1:10">
      <c r="A11" s="1">
        <f>[1]!MolarMass(C18)</f>
        <v>39.948</v>
      </c>
      <c r="D11" s="48" t="s">
        <v>82</v>
      </c>
      <c r="F11" s="48" t="s">
        <v>199</v>
      </c>
      <c r="H11" s="48" t="s">
        <v>200</v>
      </c>
      <c r="J11" s="48" t="s">
        <v>206</v>
      </c>
    </row>
    <row r="12" spans="1:10">
      <c r="A12" s="1">
        <f>[1]!MolarMass(C19)</f>
        <v>2.0158800000000001</v>
      </c>
    </row>
    <row r="13" spans="1:10">
      <c r="A13" s="1">
        <f>[1]!MolarMass(C20)</f>
        <v>28.958600656000002</v>
      </c>
      <c r="C13" s="7" t="s">
        <v>123</v>
      </c>
      <c r="D13" s="144" t="s">
        <v>82</v>
      </c>
      <c r="F13" s="144" t="str">
        <f>[1]!FluidString($C$15:$C$22,F15:F22)</f>
        <v>helium;1</v>
      </c>
      <c r="H13" s="144" t="s">
        <v>54</v>
      </c>
      <c r="J13" s="144" t="s">
        <v>207</v>
      </c>
    </row>
    <row r="14" spans="1:10" hidden="1" outlineLevel="1">
      <c r="A14" s="1">
        <f>[1]!MolarMass(C21)</f>
        <v>28.010100000000001</v>
      </c>
      <c r="C14" s="32" t="s">
        <v>48</v>
      </c>
      <c r="D14" s="32" t="s">
        <v>49</v>
      </c>
      <c r="F14" s="32" t="s">
        <v>49</v>
      </c>
      <c r="H14" s="32" t="s">
        <v>49</v>
      </c>
      <c r="J14" s="32" t="s">
        <v>49</v>
      </c>
    </row>
    <row r="15" spans="1:10" hidden="1" outlineLevel="1">
      <c r="A15" s="1">
        <f>[1]!MolarMass(C22)</f>
        <v>31.998799999999999</v>
      </c>
      <c r="C15" s="33" t="s">
        <v>54</v>
      </c>
      <c r="D15" s="41">
        <v>1</v>
      </c>
      <c r="F15" s="41">
        <v>1</v>
      </c>
      <c r="H15" s="41">
        <v>1</v>
      </c>
      <c r="J15" s="41">
        <v>1</v>
      </c>
    </row>
    <row r="16" spans="1:10" hidden="1" outlineLevel="1">
      <c r="C16" s="33" t="s">
        <v>50</v>
      </c>
      <c r="D16" s="41">
        <v>0</v>
      </c>
      <c r="F16" s="41">
        <v>0</v>
      </c>
      <c r="H16" s="41">
        <v>0</v>
      </c>
      <c r="J16" s="41">
        <v>0</v>
      </c>
    </row>
    <row r="17" spans="3:10" hidden="1" outlineLevel="1">
      <c r="C17" s="33" t="s">
        <v>55</v>
      </c>
      <c r="D17" s="41">
        <v>0</v>
      </c>
      <c r="F17" s="41">
        <v>0</v>
      </c>
      <c r="H17" s="41">
        <v>0</v>
      </c>
      <c r="J17" s="41">
        <v>0</v>
      </c>
    </row>
    <row r="18" spans="3:10" hidden="1" outlineLevel="1">
      <c r="C18" s="33" t="s">
        <v>51</v>
      </c>
      <c r="D18" s="41">
        <v>0</v>
      </c>
      <c r="F18" s="41">
        <v>0</v>
      </c>
      <c r="H18" s="41">
        <v>0</v>
      </c>
      <c r="J18" s="41">
        <v>0</v>
      </c>
    </row>
    <row r="19" spans="3:10" hidden="1" outlineLevel="1">
      <c r="C19" s="33" t="s">
        <v>56</v>
      </c>
      <c r="D19" s="41">
        <v>0</v>
      </c>
      <c r="F19" s="41">
        <v>0</v>
      </c>
      <c r="H19" s="41">
        <v>0</v>
      </c>
      <c r="J19" s="41">
        <v>0</v>
      </c>
    </row>
    <row r="20" spans="3:10" hidden="1" outlineLevel="1">
      <c r="C20" s="33" t="s">
        <v>82</v>
      </c>
      <c r="D20" s="41">
        <v>0</v>
      </c>
      <c r="F20" s="41">
        <v>0</v>
      </c>
      <c r="H20" s="41">
        <v>0</v>
      </c>
      <c r="J20" s="41">
        <v>0</v>
      </c>
    </row>
    <row r="21" spans="3:10" hidden="1" outlineLevel="1">
      <c r="C21" s="33" t="s">
        <v>57</v>
      </c>
      <c r="D21" s="41">
        <v>0</v>
      </c>
      <c r="F21" s="41">
        <v>0</v>
      </c>
      <c r="H21" s="41">
        <v>0</v>
      </c>
      <c r="J21" s="41">
        <v>0</v>
      </c>
    </row>
    <row r="22" spans="3:10" hidden="1" outlineLevel="1">
      <c r="C22" s="33" t="s">
        <v>52</v>
      </c>
      <c r="D22" s="41">
        <v>0</v>
      </c>
      <c r="F22" s="41">
        <v>0</v>
      </c>
      <c r="H22" s="41">
        <v>0</v>
      </c>
      <c r="J22" s="41">
        <v>0</v>
      </c>
    </row>
    <row r="23" spans="3:10" hidden="1" outlineLevel="1">
      <c r="C23" s="34" t="s">
        <v>53</v>
      </c>
      <c r="D23" s="35">
        <f>SUM(D15:D22)</f>
        <v>1</v>
      </c>
      <c r="F23" s="35">
        <f>SUM(F15:F22)</f>
        <v>1</v>
      </c>
      <c r="H23" s="35">
        <f>SUM(H15:H22)</f>
        <v>1</v>
      </c>
      <c r="J23" s="35">
        <f>SUM(J15:J22)</f>
        <v>1</v>
      </c>
    </row>
    <row r="24" spans="3:10" collapsed="1">
      <c r="D24" s="6"/>
      <c r="F24" s="6"/>
      <c r="H24" s="6"/>
      <c r="J24" s="6"/>
    </row>
    <row r="25" spans="3:10">
      <c r="C25" s="7" t="s">
        <v>125</v>
      </c>
      <c r="D25" s="37">
        <v>6540</v>
      </c>
      <c r="F25" s="37">
        <v>6540</v>
      </c>
      <c r="H25" s="37">
        <v>6540</v>
      </c>
      <c r="J25" s="37">
        <v>6540</v>
      </c>
    </row>
    <row r="27" spans="3:10">
      <c r="C27" s="7" t="s">
        <v>114</v>
      </c>
      <c r="D27" s="45">
        <v>0.82203058218450165</v>
      </c>
      <c r="F27" s="45">
        <v>0.82203058218450165</v>
      </c>
      <c r="H27" s="45">
        <v>0.82203058218450165</v>
      </c>
      <c r="J27" s="45">
        <v>0.82203058218450165</v>
      </c>
    </row>
    <row r="28" spans="3:10">
      <c r="C28" s="7" t="s">
        <v>68</v>
      </c>
      <c r="D28" s="46">
        <f>D25*D27</f>
        <v>5376.0800074866411</v>
      </c>
      <c r="F28" s="46">
        <f>F25*F27</f>
        <v>5376.0800074866411</v>
      </c>
      <c r="H28" s="46">
        <f>H25*H27</f>
        <v>5376.0800074866411</v>
      </c>
      <c r="J28" s="46">
        <f>J25*J27</f>
        <v>5376.0800074866411</v>
      </c>
    </row>
    <row r="29" spans="3:10">
      <c r="C29" s="7" t="s">
        <v>128</v>
      </c>
      <c r="D29" s="56">
        <f>D28*D38*273.15/(273.15+D36)</f>
        <v>4925.2934900049504</v>
      </c>
      <c r="F29" s="56">
        <f>F28*F38*273.15/(273.15+F36)</f>
        <v>5171.5581645051989</v>
      </c>
      <c r="H29" s="56">
        <f>H28*H38*273.15/(273.15+H36)</f>
        <v>4925.2934900049504</v>
      </c>
      <c r="J29" s="56">
        <f>J28*J38*273.15/(273.15+J36)</f>
        <v>4925.2934900049504</v>
      </c>
    </row>
    <row r="30" spans="3:10">
      <c r="C30" s="7" t="s">
        <v>129</v>
      </c>
      <c r="D30" s="81">
        <f>D31*3.6</f>
        <v>6282.0768656402415</v>
      </c>
      <c r="F30" s="81">
        <f>F31*3.6</f>
        <v>910.98262753210281</v>
      </c>
      <c r="H30" s="81">
        <f>H31*3.6</f>
        <v>867.62321906163584</v>
      </c>
      <c r="J30" s="81">
        <f>J31*3.6</f>
        <v>3732.1588780255875</v>
      </c>
    </row>
    <row r="31" spans="3:10">
      <c r="C31" s="7" t="s">
        <v>130</v>
      </c>
      <c r="D31" s="47">
        <f>D28*D101*1000/3600</f>
        <v>1745.0213515667338</v>
      </c>
      <c r="F31" s="47">
        <f>F28*F101*1000/3600</f>
        <v>253.05072987002856</v>
      </c>
      <c r="H31" s="47">
        <f>H28*H101*1000/3600</f>
        <v>241.00644973934328</v>
      </c>
      <c r="J31" s="47">
        <f>J28*J101*1000/3600</f>
        <v>1036.710799451552</v>
      </c>
    </row>
    <row r="32" spans="3:10">
      <c r="C32" s="7" t="s">
        <v>2</v>
      </c>
      <c r="D32" s="42">
        <f>[1]!MolarMass(D13)</f>
        <v>28.958600656000002</v>
      </c>
      <c r="F32" s="42">
        <f>[1]!MolarMass(F13)</f>
        <v>4.0026020000000004</v>
      </c>
      <c r="H32" s="42">
        <f>[1]!MolarMass(H13)</f>
        <v>4.0026020000000004</v>
      </c>
      <c r="J32" s="42">
        <f>[1]!MolarMass(J13)</f>
        <v>17.030259999999998</v>
      </c>
    </row>
    <row r="33" spans="1:10">
      <c r="C33" s="7" t="s">
        <v>3</v>
      </c>
      <c r="D33" s="39">
        <f>[1]!Isentropicexpansioncoef(D13,"TP","SI with C",D36,D38/10)</f>
        <v>1.4013441533682589</v>
      </c>
      <c r="F33" s="39">
        <f>[1]!Isentropicexpansioncoef(F13,"TP","SI with C",F36,F38/10)</f>
        <v>1.667375428551263</v>
      </c>
      <c r="H33" s="39">
        <f>[1]!Isentropicexpansioncoef(H13,"TP","SI with C",H36,H38/10)</f>
        <v>1.6673416890640049</v>
      </c>
      <c r="J33" s="39">
        <f>[1]!Isentropicexpansioncoef(J13,"TP","SI with C",J36,J38/10)</f>
        <v>1.3019801225312162</v>
      </c>
    </row>
    <row r="34" spans="1:10">
      <c r="C34" s="7" t="s">
        <v>4</v>
      </c>
      <c r="D34" s="38">
        <f>[1]!IsobaricHeatCapacity(D13,"TP","SI with C",D36,D38/10)</f>
        <v>1.0065418540207534</v>
      </c>
      <c r="F34" s="38">
        <f>[1]!IsobaricHeatCapacity(F13,"TP","SI with C",F36,F38/10)</f>
        <v>5.1932035030374681</v>
      </c>
      <c r="H34" s="38">
        <f>[1]!IsobaricHeatCapacity(H13,"TP","SI with C",H36,H38/10)</f>
        <v>5.1932017605937109</v>
      </c>
      <c r="J34" s="38">
        <f>[1]!IsobaricHeatCapacity(J13,"TP","SI with C",J36,J38/10)</f>
        <v>2.1635114445215873</v>
      </c>
    </row>
    <row r="35" spans="1:10">
      <c r="C35" s="7" t="s">
        <v>5</v>
      </c>
      <c r="D35" s="8">
        <f>D39/D38</f>
        <v>5</v>
      </c>
      <c r="F35" s="8">
        <f>F39/F38</f>
        <v>4.7619047619047619</v>
      </c>
      <c r="H35" s="8">
        <f>H39/H38</f>
        <v>5</v>
      </c>
      <c r="J35" s="8">
        <f>J39/J38</f>
        <v>5</v>
      </c>
    </row>
    <row r="36" spans="1:10">
      <c r="C36" s="7" t="s">
        <v>6</v>
      </c>
      <c r="D36" s="74">
        <v>25</v>
      </c>
      <c r="F36" s="74">
        <v>25</v>
      </c>
      <c r="H36" s="74">
        <v>25</v>
      </c>
      <c r="J36" s="74">
        <v>25</v>
      </c>
    </row>
    <row r="37" spans="1:10">
      <c r="C37" s="7" t="s">
        <v>7</v>
      </c>
      <c r="D37" s="10">
        <v>1</v>
      </c>
      <c r="F37" s="10">
        <v>1.05</v>
      </c>
      <c r="H37" s="10">
        <v>1</v>
      </c>
      <c r="J37" s="10">
        <v>1</v>
      </c>
    </row>
    <row r="38" spans="1:10">
      <c r="C38" s="7" t="s">
        <v>7</v>
      </c>
      <c r="D38" s="40">
        <f>D37</f>
        <v>1</v>
      </c>
      <c r="F38" s="40">
        <f>F37</f>
        <v>1.05</v>
      </c>
      <c r="H38" s="40">
        <f>H37</f>
        <v>1</v>
      </c>
      <c r="J38" s="40">
        <f>J37</f>
        <v>1</v>
      </c>
    </row>
    <row r="39" spans="1:10">
      <c r="C39" s="7" t="s">
        <v>8</v>
      </c>
      <c r="D39" s="27">
        <v>5</v>
      </c>
      <c r="F39" s="27">
        <v>5</v>
      </c>
      <c r="H39" s="27">
        <v>5</v>
      </c>
      <c r="J39" s="27">
        <v>5</v>
      </c>
    </row>
    <row r="40" spans="1:10">
      <c r="A40" s="130">
        <f>3.99/1.05</f>
        <v>3.8</v>
      </c>
      <c r="C40" s="7" t="s">
        <v>179</v>
      </c>
      <c r="D40" s="130">
        <f>D39/D38</f>
        <v>5</v>
      </c>
      <c r="F40" s="130">
        <f>F39/F38</f>
        <v>4.7619047619047619</v>
      </c>
      <c r="H40" s="130">
        <f>H39/H38</f>
        <v>5</v>
      </c>
      <c r="J40" s="130">
        <f>J39/J38</f>
        <v>5</v>
      </c>
    </row>
    <row r="41" spans="1:10">
      <c r="A41" s="130">
        <f>A40^(1/D33)</f>
        <v>2.5925904119174517</v>
      </c>
      <c r="C41" s="7" t="s">
        <v>183</v>
      </c>
      <c r="D41" s="130">
        <f>D40^(1/D33)</f>
        <v>3.1534460123833692</v>
      </c>
      <c r="F41" s="130">
        <f>F40^(1/F33)</f>
        <v>2.5497380088806141</v>
      </c>
      <c r="H41" s="130">
        <f>H40^(1/H33)</f>
        <v>2.625501169172721</v>
      </c>
      <c r="J41" s="130">
        <f>J40^(1/J33)</f>
        <v>3.4423221973080018</v>
      </c>
    </row>
    <row r="42" spans="1:10">
      <c r="C42" s="7" t="s">
        <v>184</v>
      </c>
      <c r="D42" s="130">
        <f>D3</f>
        <v>2.63</v>
      </c>
      <c r="F42" s="130">
        <f>$D$42</f>
        <v>2.63</v>
      </c>
      <c r="H42" s="130">
        <f>H3</f>
        <v>2.63</v>
      </c>
      <c r="J42" s="130">
        <f>J3</f>
        <v>2.63</v>
      </c>
    </row>
    <row r="43" spans="1:10">
      <c r="C43" s="7" t="s">
        <v>185</v>
      </c>
      <c r="D43" s="130">
        <f>D42^D33</f>
        <v>3.8770600961782029</v>
      </c>
      <c r="F43" s="130">
        <f>F42^F33</f>
        <v>5.014456822314787</v>
      </c>
      <c r="H43" s="130">
        <f>H42^H33</f>
        <v>5.0142932256261084</v>
      </c>
      <c r="J43" s="130">
        <f>J42^J33</f>
        <v>3.5218758040502589</v>
      </c>
    </row>
    <row r="44" spans="1:10">
      <c r="C44" s="7" t="s">
        <v>186</v>
      </c>
      <c r="D44" s="136">
        <f>D43/D40</f>
        <v>0.77541201923564063</v>
      </c>
      <c r="E44" s="43"/>
      <c r="F44" s="136">
        <f>F43/F40</f>
        <v>1.0530359326861052</v>
      </c>
      <c r="G44" s="43"/>
      <c r="H44" s="136">
        <f>H43/H40</f>
        <v>1.0028586451252217</v>
      </c>
      <c r="J44" s="136">
        <f>J43/J40</f>
        <v>0.7043751608100518</v>
      </c>
    </row>
    <row r="45" spans="1:10">
      <c r="C45" s="7" t="s">
        <v>78</v>
      </c>
      <c r="D45" s="30">
        <f>(D31*8.314/D32*(D36+273.15)*LN(D39/D38)/1000)</f>
        <v>240.40430176557018</v>
      </c>
      <c r="F45" s="30">
        <f>(F31*8.314/F32*(F36+273.15)*LN(F39/F38)/1000)</f>
        <v>244.57660385763461</v>
      </c>
      <c r="H45" s="30">
        <f>(H31*8.314/H32*(H36+273.15)*LN(H39/H38)/1000)</f>
        <v>240.21787370644716</v>
      </c>
      <c r="J45" s="30">
        <f>(J31*8.314/J32*(J36+273.15)*LN(J39/J38)/1000)</f>
        <v>242.85967281982761</v>
      </c>
    </row>
    <row r="46" spans="1:10">
      <c r="C46" s="7" t="s">
        <v>79</v>
      </c>
      <c r="D46" s="30">
        <f>D38*10^5*D28/3600*LN(D39/D38)/1000</f>
        <v>240.3463051202223</v>
      </c>
      <c r="F46" s="30">
        <f>F38*10^5*F28/3600*LN(F39/F38)/1000</f>
        <v>244.71320878009621</v>
      </c>
      <c r="H46" s="30">
        <f>H38*10^5*H28/3600*LN(H39/H38)/1000</f>
        <v>240.3463051202223</v>
      </c>
      <c r="J46" s="30">
        <f>J38*10^5*J28/3600*LN(J39/J38)/1000</f>
        <v>240.3463051202223</v>
      </c>
    </row>
    <row r="47" spans="1:10">
      <c r="C47" s="7" t="s">
        <v>117</v>
      </c>
      <c r="D47" s="30">
        <f>(D31*8.314/D32*(D36+273.15)*D33/(D33-1)*((D39/D38)^((D33-1)/D33)-1))/1000</f>
        <v>305.40242540344633</v>
      </c>
      <c r="F47" s="30">
        <f>(F31*8.314/F32*(F36+273.15)*F33/(F33-1)*((F39/F38)^((F33-1)/F33)-1))/1000</f>
        <v>339.69996917458559</v>
      </c>
      <c r="H47" s="30">
        <f>(H31*8.314/H32*(H36+273.15)*H33/(H33-1)*((H39/H38)^((H33-1)/H33)-1))/1000</f>
        <v>337.26182669701649</v>
      </c>
      <c r="J47" s="30">
        <f>(J31*8.314/J32*(J36+273.15)*J33/(J33-1)*((J39/J38)^((J33-1)/J33)-1))/1000</f>
        <v>294.39693809447647</v>
      </c>
    </row>
    <row r="48" spans="1:10">
      <c r="A48" s="1">
        <f>38.3</f>
        <v>38.299999999999997</v>
      </c>
      <c r="C48" s="7" t="s">
        <v>69</v>
      </c>
      <c r="D48" s="49">
        <v>0.95</v>
      </c>
      <c r="F48" s="49">
        <v>0.95</v>
      </c>
      <c r="H48" s="49">
        <v>0.95</v>
      </c>
      <c r="J48" s="49">
        <v>0.95</v>
      </c>
    </row>
    <row r="49" spans="1:10">
      <c r="A49" s="1">
        <v>35.86</v>
      </c>
      <c r="C49" s="7" t="s">
        <v>131</v>
      </c>
      <c r="D49" s="89">
        <f>D51/(3^0.5*6600*0.91)*1000</f>
        <v>51.355122040439554</v>
      </c>
      <c r="F49" s="89">
        <f>F51/(3^0.5*6600*0.91)*1000</f>
        <v>52.246408434043659</v>
      </c>
      <c r="H49" s="89">
        <f>H51/(3^0.5*6600*0.91)*1000</f>
        <v>51.315297313270726</v>
      </c>
      <c r="J49" s="89">
        <f>J51/(3^0.5*6600*0.91)*1000</f>
        <v>51.879637946435757</v>
      </c>
    </row>
    <row r="50" spans="1:10">
      <c r="A50" s="1">
        <f>A48-A49</f>
        <v>2.4399999999999977</v>
      </c>
    </row>
    <row r="51" spans="1:10">
      <c r="C51" s="7" t="s">
        <v>10</v>
      </c>
      <c r="D51" s="30">
        <f>D45/D52</f>
        <v>534.2317817012671</v>
      </c>
      <c r="F51" s="30">
        <f>F45/F52</f>
        <v>543.50356412807685</v>
      </c>
      <c r="H51" s="30">
        <f>H45/H52</f>
        <v>533.81749712543808</v>
      </c>
      <c r="J51" s="30">
        <f>J45/J52</f>
        <v>539.68816182183912</v>
      </c>
    </row>
    <row r="52" spans="1:10">
      <c r="C52" s="104" t="s">
        <v>9</v>
      </c>
      <c r="D52" s="49">
        <v>0.45</v>
      </c>
      <c r="E52" s="105"/>
      <c r="F52" s="49">
        <v>0.45</v>
      </c>
      <c r="G52" s="105"/>
      <c r="H52" s="49">
        <v>0.45</v>
      </c>
      <c r="J52" s="49">
        <v>0.45</v>
      </c>
    </row>
    <row r="53" spans="1:10">
      <c r="C53" s="7" t="s">
        <v>118</v>
      </c>
      <c r="D53" s="64">
        <f>D47/D51</f>
        <v>0.57166652352821257</v>
      </c>
      <c r="F53" s="64">
        <f>F47/F51</f>
        <v>0.62501884365662619</v>
      </c>
      <c r="H53" s="64">
        <f>H47/H51</f>
        <v>0.63179237944267996</v>
      </c>
      <c r="J53" s="64">
        <f>J47/J51</f>
        <v>0.54549452613648819</v>
      </c>
    </row>
    <row r="54" spans="1:10">
      <c r="C54" s="7"/>
      <c r="D54" s="64"/>
      <c r="F54" s="64"/>
      <c r="H54" s="64"/>
      <c r="J54" s="64"/>
    </row>
    <row r="55" spans="1:10">
      <c r="C55" s="12" t="s">
        <v>152</v>
      </c>
      <c r="D55" s="74">
        <v>80</v>
      </c>
      <c r="F55" s="149">
        <v>87.911483874671347</v>
      </c>
      <c r="H55" s="74">
        <v>80</v>
      </c>
      <c r="J55" s="74">
        <v>80</v>
      </c>
    </row>
    <row r="56" spans="1:10">
      <c r="C56" s="7" t="s">
        <v>15</v>
      </c>
      <c r="D56" s="145">
        <f>D62+D57</f>
        <v>36.102604758347148</v>
      </c>
      <c r="F56" s="145">
        <f>F62+F57</f>
        <v>33.448957689896396</v>
      </c>
      <c r="H56" s="145">
        <f>H62+H57</f>
        <v>36.1</v>
      </c>
      <c r="J56" s="145">
        <f>J62+J57</f>
        <v>36.102604758347148</v>
      </c>
    </row>
    <row r="57" spans="1:10">
      <c r="C57" s="12" t="s">
        <v>174</v>
      </c>
      <c r="D57" s="147">
        <v>6.102604758347149</v>
      </c>
      <c r="F57" s="129">
        <v>3.4489576898963952</v>
      </c>
      <c r="H57" s="119">
        <v>6.1</v>
      </c>
      <c r="J57" s="147">
        <v>6.102604758347149</v>
      </c>
    </row>
    <row r="58" spans="1:10">
      <c r="C58" s="12" t="s">
        <v>201</v>
      </c>
      <c r="D58" s="119">
        <v>3</v>
      </c>
      <c r="F58" s="119">
        <v>3</v>
      </c>
      <c r="H58" s="119">
        <v>3</v>
      </c>
      <c r="J58" s="119">
        <v>3</v>
      </c>
    </row>
    <row r="59" spans="1:10">
      <c r="C59" s="12" t="s">
        <v>204</v>
      </c>
      <c r="D59" s="119">
        <v>10</v>
      </c>
      <c r="F59" s="154">
        <f>F77-F62</f>
        <v>10.869436332377205</v>
      </c>
      <c r="H59" s="119">
        <v>10</v>
      </c>
      <c r="J59" s="119">
        <v>10</v>
      </c>
    </row>
    <row r="61" spans="1:10">
      <c r="C61" s="7" t="s">
        <v>157</v>
      </c>
      <c r="D61" s="64"/>
      <c r="F61" s="64"/>
      <c r="H61" s="64"/>
      <c r="J61" s="64"/>
    </row>
    <row r="62" spans="1:10">
      <c r="C62" s="113" t="s">
        <v>155</v>
      </c>
      <c r="D62" s="74">
        <v>30</v>
      </c>
      <c r="E62" s="85"/>
      <c r="F62" s="111">
        <v>30</v>
      </c>
      <c r="G62" s="101"/>
      <c r="H62" s="74">
        <v>30</v>
      </c>
      <c r="J62" s="74">
        <v>30</v>
      </c>
    </row>
    <row r="63" spans="1:10">
      <c r="C63" s="113" t="s">
        <v>156</v>
      </c>
      <c r="D63" s="152">
        <v>31.734477507015132</v>
      </c>
      <c r="E63" s="85"/>
      <c r="F63" s="100">
        <f>F69/(F65*4.18)*3.6+F62</f>
        <v>31.610045149513958</v>
      </c>
      <c r="G63" s="101"/>
      <c r="H63" s="152">
        <v>31.292168374089712</v>
      </c>
      <c r="J63" s="152">
        <v>32.30556101747198</v>
      </c>
    </row>
    <row r="64" spans="1:10">
      <c r="C64" s="114" t="s">
        <v>203</v>
      </c>
      <c r="D64" s="111">
        <f>D63-D62</f>
        <v>1.7344775070151321</v>
      </c>
      <c r="E64" s="85"/>
      <c r="F64" s="111">
        <f>F63-F62</f>
        <v>1.6100451495139581</v>
      </c>
      <c r="G64" s="101"/>
      <c r="H64" s="111">
        <f>H63-H62</f>
        <v>1.2921683740897123</v>
      </c>
      <c r="J64" s="111">
        <f>J63-J62</f>
        <v>2.3055610174719803</v>
      </c>
    </row>
    <row r="65" spans="3:10">
      <c r="C65" s="114" t="s">
        <v>163</v>
      </c>
      <c r="D65" s="150">
        <f>D69*1000/((D63-D62)*4.18)/1000*3600/1000</f>
        <v>38.285020284242322</v>
      </c>
      <c r="E65" s="85"/>
      <c r="F65" s="117">
        <f>$D$65</f>
        <v>38.285020284242322</v>
      </c>
      <c r="G65" s="101"/>
      <c r="H65" s="150">
        <f>H69*1000/((H63-H62)*4.18)/1000*3600/1000</f>
        <v>36.621446352495106</v>
      </c>
      <c r="J65" s="150">
        <f>J69*1000/((J63-J62)*4.18)/1000*3600/1000</f>
        <v>36.779444800060332</v>
      </c>
    </row>
    <row r="66" spans="3:10">
      <c r="C66" s="114" t="s">
        <v>169</v>
      </c>
      <c r="D66" s="111">
        <f>D55</f>
        <v>80</v>
      </c>
      <c r="E66" s="85"/>
      <c r="F66" s="111">
        <f>F55</f>
        <v>87.911483874671347</v>
      </c>
      <c r="G66" s="101"/>
      <c r="H66" s="111">
        <f>H55</f>
        <v>80</v>
      </c>
      <c r="J66" s="111">
        <f>J55</f>
        <v>80</v>
      </c>
    </row>
    <row r="67" spans="3:10">
      <c r="C67" s="114" t="s">
        <v>170</v>
      </c>
      <c r="D67" s="111">
        <f>D56</f>
        <v>36.102604758347148</v>
      </c>
      <c r="E67" s="85"/>
      <c r="F67" s="111">
        <f>F56</f>
        <v>33.448957689896396</v>
      </c>
      <c r="G67" s="101"/>
      <c r="H67" s="111">
        <f>H56</f>
        <v>36.1</v>
      </c>
      <c r="J67" s="111">
        <f>J56</f>
        <v>36.102604758347148</v>
      </c>
    </row>
    <row r="68" spans="3:10">
      <c r="C68" s="112" t="s">
        <v>133</v>
      </c>
      <c r="D68" s="100">
        <f>((D67-D62)-(D66-D63))/LN((D67-D62)/(D66-D63))</f>
        <v>20.388240384140463</v>
      </c>
      <c r="E68" s="85"/>
      <c r="F68" s="100">
        <f>((F67-F62)-(F66-F63))/LN((F67-F62)/(F66-F63))</f>
        <v>18.925579092528341</v>
      </c>
      <c r="G68" s="101"/>
      <c r="H68" s="100">
        <f>((H67-H62)-(H66-H63))/LN((H67-H62)/(H66-H63))</f>
        <v>20.508680847058937</v>
      </c>
      <c r="J68" s="100">
        <f>((J67-J62)-(J66-J63))/LN((J67-J62)/(J66-J63))</f>
        <v>20.228516151570823</v>
      </c>
    </row>
    <row r="69" spans="3:10">
      <c r="C69" s="115" t="s">
        <v>205</v>
      </c>
      <c r="D69" s="30">
        <f>D31*D34*(D66-D67)/1000</f>
        <v>77.103010369861153</v>
      </c>
      <c r="E69" s="85"/>
      <c r="F69" s="30">
        <f>F31*F34*(F66-F67)/1000</f>
        <v>71.571598568926476</v>
      </c>
      <c r="G69" s="101"/>
      <c r="H69" s="30">
        <f>H31*H34*(H66-H67)/1000</f>
        <v>54.945025728524996</v>
      </c>
      <c r="J69" s="30">
        <f>J31*J34*(J66-J67)/1000</f>
        <v>98.459034014632564</v>
      </c>
    </row>
    <row r="70" spans="3:10">
      <c r="C70" s="115" t="s">
        <v>161</v>
      </c>
      <c r="D70" s="18">
        <f>D69/D68</f>
        <v>3.7817393221358029</v>
      </c>
      <c r="E70" s="85"/>
      <c r="F70" s="18">
        <f>$D$70</f>
        <v>3.7817393221358029</v>
      </c>
      <c r="G70" s="101"/>
      <c r="H70" s="18">
        <f>H69/H68</f>
        <v>2.6791106721232354</v>
      </c>
      <c r="J70" s="18">
        <f>J69/J68</f>
        <v>4.8673384284287629</v>
      </c>
    </row>
    <row r="71" spans="3:10">
      <c r="C71" s="115" t="s">
        <v>165</v>
      </c>
      <c r="D71" s="103">
        <v>0</v>
      </c>
      <c r="E71" s="85"/>
      <c r="F71" s="121">
        <v>0</v>
      </c>
      <c r="G71" s="101"/>
      <c r="H71" s="103">
        <v>0</v>
      </c>
      <c r="J71" s="103">
        <v>0</v>
      </c>
    </row>
    <row r="72" spans="3:10">
      <c r="C72" s="112" t="s">
        <v>162</v>
      </c>
      <c r="D72" s="92">
        <f>D70*D68</f>
        <v>77.103010369861153</v>
      </c>
      <c r="E72" s="85"/>
      <c r="F72" s="92">
        <f>F70*F68*(1+F71)</f>
        <v>71.571606648405648</v>
      </c>
      <c r="G72" s="101"/>
      <c r="H72" s="92">
        <f>H70*H68</f>
        <v>54.945025728524996</v>
      </c>
      <c r="J72" s="92">
        <f>J70*J68</f>
        <v>98.459034014632579</v>
      </c>
    </row>
    <row r="73" spans="3:10">
      <c r="C73" s="115" t="s">
        <v>164</v>
      </c>
      <c r="E73" s="124"/>
      <c r="F73" s="146">
        <f>F72-F69</f>
        <v>8.0794791728067139E-6</v>
      </c>
      <c r="G73" s="126"/>
    </row>
    <row r="75" spans="3:10">
      <c r="C75" s="7" t="s">
        <v>158</v>
      </c>
      <c r="D75" s="74"/>
      <c r="E75" s="85"/>
      <c r="F75" s="102"/>
      <c r="G75" s="101"/>
      <c r="H75" s="74"/>
      <c r="J75" s="74"/>
    </row>
    <row r="76" spans="3:10">
      <c r="C76" s="113" t="s">
        <v>155</v>
      </c>
      <c r="D76" s="111">
        <f>D63</f>
        <v>31.734477507015132</v>
      </c>
      <c r="E76" s="85"/>
      <c r="F76" s="111">
        <f>F63</f>
        <v>31.610045149513958</v>
      </c>
      <c r="G76" s="101"/>
      <c r="H76" s="111">
        <f>H63</f>
        <v>31.292168374089712</v>
      </c>
      <c r="J76" s="111">
        <f>J63</f>
        <v>32.30556101747198</v>
      </c>
    </row>
    <row r="77" spans="3:10">
      <c r="C77" s="113" t="s">
        <v>156</v>
      </c>
      <c r="D77" s="100">
        <f>D62+D59</f>
        <v>40</v>
      </c>
      <c r="E77" s="85"/>
      <c r="F77" s="100">
        <f>F86/(F78*4.18)*3.6+F76</f>
        <v>40.869436332377205</v>
      </c>
      <c r="G77" s="101"/>
      <c r="H77" s="100">
        <f>H62+H59</f>
        <v>40</v>
      </c>
      <c r="J77" s="100">
        <f>J62+J59</f>
        <v>40</v>
      </c>
    </row>
    <row r="78" spans="3:10">
      <c r="C78" s="114" t="s">
        <v>163</v>
      </c>
      <c r="D78" s="150">
        <f>D86*1000/((D77-D76)*4.18)/1000*3600/1000</f>
        <v>38.285030829060865</v>
      </c>
      <c r="E78" s="85"/>
      <c r="F78" s="118">
        <f>F65</f>
        <v>38.285020284242322</v>
      </c>
      <c r="G78" s="101"/>
      <c r="H78" s="150">
        <f>H86*1000/((H77-H76)*4.18)/1000*3600/1000</f>
        <v>42.056119330796605</v>
      </c>
      <c r="J78" s="150">
        <f>J86*1000/((J77-J76)*4.18)/1000*3600/1000</f>
        <v>36.779443166237122</v>
      </c>
    </row>
    <row r="79" spans="3:10">
      <c r="C79" s="114" t="s">
        <v>159</v>
      </c>
      <c r="D79" s="111">
        <f>D55</f>
        <v>80</v>
      </c>
      <c r="E79" s="85"/>
      <c r="F79" s="111">
        <f>F55</f>
        <v>87.911483874671347</v>
      </c>
      <c r="G79" s="101"/>
      <c r="H79" s="111">
        <f>H55</f>
        <v>80</v>
      </c>
      <c r="J79" s="111">
        <f>J55</f>
        <v>80</v>
      </c>
    </row>
    <row r="80" spans="3:10">
      <c r="C80" s="114" t="s">
        <v>192</v>
      </c>
      <c r="D80" s="74">
        <f>D76+D58</f>
        <v>34.734477507015129</v>
      </c>
      <c r="E80" s="85"/>
      <c r="F80" s="100">
        <f>(100%*F81-F89*F79)/(1-F89)</f>
        <v>34.610045149513958</v>
      </c>
      <c r="G80" s="101"/>
      <c r="H80" s="74">
        <f>H76+H58</f>
        <v>34.292168374089712</v>
      </c>
      <c r="J80" s="74">
        <f>J76+J58</f>
        <v>35.30556101747198</v>
      </c>
    </row>
    <row r="81" spans="3:10">
      <c r="C81" s="114" t="s">
        <v>194</v>
      </c>
      <c r="D81" s="74">
        <f>D76+D58</f>
        <v>34.734477507015129</v>
      </c>
      <c r="E81" s="85"/>
      <c r="F81" s="74">
        <f>F76+F58</f>
        <v>34.610045149513958</v>
      </c>
      <c r="G81" s="101"/>
      <c r="H81" s="74">
        <f>H76+H58</f>
        <v>34.292168374089712</v>
      </c>
      <c r="J81" s="74">
        <f>J76+J58</f>
        <v>35.30556101747198</v>
      </c>
    </row>
    <row r="82" spans="3:10">
      <c r="C82" s="114" t="s">
        <v>21</v>
      </c>
      <c r="D82" s="86">
        <v>1.95</v>
      </c>
      <c r="E82" s="85"/>
      <c r="F82" s="86">
        <v>1.95</v>
      </c>
      <c r="G82" s="82"/>
      <c r="H82" s="86">
        <v>1.95</v>
      </c>
      <c r="J82" s="86">
        <v>1.95</v>
      </c>
    </row>
    <row r="83" spans="3:10">
      <c r="C83" s="114" t="s">
        <v>22</v>
      </c>
      <c r="D83" s="16">
        <v>980</v>
      </c>
      <c r="E83" s="85"/>
      <c r="F83" s="16">
        <v>980</v>
      </c>
      <c r="H83" s="16">
        <v>980</v>
      </c>
      <c r="J83" s="16">
        <v>980</v>
      </c>
    </row>
    <row r="84" spans="3:10">
      <c r="C84" s="7" t="s">
        <v>26</v>
      </c>
      <c r="D84" s="13">
        <f>(273.15+D36)*(D39/D38)^((D33-1)/D33)-273.15</f>
        <v>199.58680733582429</v>
      </c>
      <c r="F84" s="13">
        <f>(273.15+F36)*(F39/F38)^((F33-1)/F33)-273.15</f>
        <v>283.6765836791634</v>
      </c>
      <c r="H84" s="13">
        <f>(273.15+H36)*(H39/H38)^((H33-1)/H33)-273.15</f>
        <v>294.64635732164834</v>
      </c>
      <c r="J84" s="13">
        <f>(273.15+J36)*(J39/J38)^((J33-1)/J33)-273.15</f>
        <v>159.91521428058377</v>
      </c>
    </row>
    <row r="85" spans="3:10">
      <c r="C85" s="7" t="s">
        <v>74</v>
      </c>
      <c r="D85" s="13">
        <f>D84-D55</f>
        <v>119.58680733582429</v>
      </c>
      <c r="F85" s="13">
        <f>F84-F55</f>
        <v>195.76509980449205</v>
      </c>
      <c r="H85" s="13">
        <f>H84-H55</f>
        <v>214.64635732164834</v>
      </c>
      <c r="J85" s="13">
        <f>J84-J55</f>
        <v>79.915214280583768</v>
      </c>
    </row>
    <row r="86" spans="3:10">
      <c r="C86" s="7" t="s">
        <v>135</v>
      </c>
      <c r="D86" s="92">
        <f>D34*D85*D31/1000/D53</f>
        <v>367.4287152422462</v>
      </c>
      <c r="E86" s="25"/>
      <c r="F86" s="92">
        <f>F34*F85*F31/1000/F53</f>
        <v>411.60922035795357</v>
      </c>
      <c r="G86" s="25"/>
      <c r="H86" s="92">
        <f>H34*H85*H31/1000/H53</f>
        <v>425.21933137833025</v>
      </c>
      <c r="J86" s="92">
        <f>J34*J85*J31/1000/J53</f>
        <v>328.59117156710801</v>
      </c>
    </row>
    <row r="87" spans="3:10">
      <c r="C87" s="7" t="s">
        <v>190</v>
      </c>
      <c r="D87" s="141">
        <f>D86/(D82*(D55-D81))*3600</f>
        <v>14985.5761841027</v>
      </c>
      <c r="F87" s="141">
        <f>$D$87</f>
        <v>14985.5761841027</v>
      </c>
      <c r="H87" s="141">
        <f>H86/(H82*(H55-H81))*3600</f>
        <v>17174.743936837043</v>
      </c>
      <c r="J87" s="141">
        <f>J86/(J82*(J55-J81))*3600</f>
        <v>13572.826262299859</v>
      </c>
    </row>
    <row r="88" spans="3:10">
      <c r="C88" s="7" t="s">
        <v>124</v>
      </c>
      <c r="D88" s="22">
        <f>D87/D83</f>
        <v>15.291404269492551</v>
      </c>
      <c r="F88" s="22">
        <f>F87/F83</f>
        <v>15.291404269492551</v>
      </c>
      <c r="H88" s="22">
        <f>H87/H83</f>
        <v>17.525248915139841</v>
      </c>
      <c r="J88" s="22">
        <f>J87/J83</f>
        <v>13.849822716632509</v>
      </c>
    </row>
    <row r="89" spans="3:10">
      <c r="C89" s="7" t="s">
        <v>195</v>
      </c>
      <c r="D89" s="103">
        <v>0</v>
      </c>
      <c r="F89" s="103">
        <v>0</v>
      </c>
      <c r="H89" s="103">
        <v>0</v>
      </c>
      <c r="J89" s="103">
        <v>0</v>
      </c>
    </row>
    <row r="90" spans="3:10">
      <c r="C90" s="7" t="s">
        <v>124</v>
      </c>
      <c r="D90" s="153">
        <f>D88*1000/60</f>
        <v>254.85673782487584</v>
      </c>
      <c r="F90" s="153">
        <f>(1-F89)*$D$90</f>
        <v>254.85673782487584</v>
      </c>
      <c r="H90" s="153">
        <f>H88*1000/60</f>
        <v>292.08748191899736</v>
      </c>
      <c r="I90" s="1">
        <f>H90/D90</f>
        <v>1.1460849903827324</v>
      </c>
      <c r="J90" s="153">
        <f>J88*1000/60</f>
        <v>230.8303786105418</v>
      </c>
    </row>
    <row r="91" spans="3:10">
      <c r="C91" s="7" t="s">
        <v>172</v>
      </c>
      <c r="D91" s="93">
        <v>0.92255515242259667</v>
      </c>
      <c r="E91" s="106"/>
      <c r="F91" s="93">
        <v>0.92255515242259667</v>
      </c>
      <c r="G91" s="106"/>
      <c r="H91" s="93">
        <v>0.92255515242259667</v>
      </c>
      <c r="J91" s="93">
        <v>0.92255515242259667</v>
      </c>
    </row>
    <row r="92" spans="3:10">
      <c r="C92" s="7" t="s">
        <v>171</v>
      </c>
      <c r="D92" s="18">
        <f>((D79-D77)-(D81-D76))/LN((D79-D77)/(D81-D76))*D91</f>
        <v>13.177999974284875</v>
      </c>
      <c r="F92" s="18">
        <f>((F79-F77)-(F80-F76))/LN((F79-F77)/(F80-F76))*F91</f>
        <v>14.761946588788165</v>
      </c>
      <c r="H92" s="18">
        <f>((H79-H77)-(H81-H76))/LN((H79-H77)/(H81-H76))*H91</f>
        <v>13.177999974284882</v>
      </c>
      <c r="J92" s="18">
        <f>((J79-J77)-(J81-J76))/LN((J79-J77)/(J81-J76))*J91</f>
        <v>13.177999974284882</v>
      </c>
    </row>
    <row r="93" spans="3:10">
      <c r="C93" s="7" t="s">
        <v>150</v>
      </c>
      <c r="D93" s="18">
        <f>D86/D92</f>
        <v>27.881978749372802</v>
      </c>
      <c r="F93" s="94">
        <f>(F90/$D$90)*$D$93</f>
        <v>27.881978749372802</v>
      </c>
      <c r="G93" s="25"/>
      <c r="H93" s="18">
        <f>H86/H92</f>
        <v>32.267364714530984</v>
      </c>
      <c r="I93" s="1">
        <f>H93/D93</f>
        <v>1.1572838859314041</v>
      </c>
      <c r="J93" s="18">
        <f>J86/J92</f>
        <v>24.93482866962438</v>
      </c>
    </row>
    <row r="94" spans="3:10">
      <c r="C94" s="115" t="s">
        <v>165</v>
      </c>
      <c r="D94" s="103">
        <v>0</v>
      </c>
      <c r="F94" s="121">
        <v>0</v>
      </c>
      <c r="G94" s="25"/>
      <c r="H94" s="103">
        <v>0</v>
      </c>
      <c r="J94" s="103">
        <v>0</v>
      </c>
    </row>
    <row r="95" spans="3:10">
      <c r="C95" s="7" t="s">
        <v>148</v>
      </c>
      <c r="D95" s="92">
        <f>D93*D92</f>
        <v>367.4287152422462</v>
      </c>
      <c r="F95" s="92">
        <f>F93*F92*(1+F94)</f>
        <v>411.59228108796793</v>
      </c>
      <c r="H95" s="92">
        <f>H93*H92</f>
        <v>425.2193313783302</v>
      </c>
      <c r="J95" s="92">
        <f>J93*J92</f>
        <v>328.59117156710801</v>
      </c>
    </row>
    <row r="96" spans="3:10">
      <c r="C96" s="115" t="s">
        <v>164</v>
      </c>
      <c r="E96" s="122"/>
      <c r="F96" s="148">
        <f>F86-F95</f>
        <v>1.6939269985641658E-2</v>
      </c>
      <c r="G96" s="128"/>
    </row>
    <row r="97" spans="3:10">
      <c r="F97" s="1">
        <v>0</v>
      </c>
    </row>
    <row r="98" spans="3:10">
      <c r="C98" s="1" t="s">
        <v>202</v>
      </c>
      <c r="D98" s="151">
        <f>D65-D78</f>
        <v>-1.0544818543678502E-5</v>
      </c>
      <c r="H98" s="151">
        <f>H65-H78</f>
        <v>-5.4346729783014993</v>
      </c>
      <c r="J98" s="151">
        <f>J65-J78</f>
        <v>1.6338232100565619E-6</v>
      </c>
    </row>
    <row r="99" spans="3:10">
      <c r="C99" s="43" t="s">
        <v>104</v>
      </c>
      <c r="D99" s="75">
        <f>D30/D102</f>
        <v>1098.5507212286245</v>
      </c>
      <c r="F99" s="75">
        <f>F30/F102</f>
        <v>1156.1161118540192</v>
      </c>
      <c r="H99" s="75">
        <f>H30/H102</f>
        <v>1099.9437403293907</v>
      </c>
      <c r="J99" s="75">
        <f>J30/J102</f>
        <v>1058.4331707053725</v>
      </c>
    </row>
    <row r="100" spans="3:10">
      <c r="C100" s="43" t="s">
        <v>105</v>
      </c>
      <c r="D100" s="63">
        <f>D88/(D99+D160)</f>
        <v>1.3919616066876339E-2</v>
      </c>
      <c r="F100" s="63">
        <f>F88/(F99+F160)</f>
        <v>1.3226529855180644E-2</v>
      </c>
      <c r="H100" s="63">
        <f>H88/(H99+H160)</f>
        <v>1.5932859356871928E-2</v>
      </c>
      <c r="J100" s="63">
        <f>J88/(J99+J160)</f>
        <v>1.3085212274103768E-2</v>
      </c>
    </row>
    <row r="101" spans="3:10">
      <c r="C101" s="43" t="s">
        <v>119</v>
      </c>
      <c r="D101" s="1">
        <f>[1]!density(D13,"TP","SI with C",D36,D38/10)</f>
        <v>1.168523693265711</v>
      </c>
      <c r="F101" s="1">
        <f>[1]!density(F13,"TP","SI with C",F36,F38/10)</f>
        <v>0.16945109192264315</v>
      </c>
      <c r="H101" s="1">
        <f>[1]!density(H13,"TP","SI with C",H36,H38/10)</f>
        <v>0.16138584579347739</v>
      </c>
      <c r="J101" s="1">
        <f>[1]!density(J13,"TP","SI with C",J36,J38/10)</f>
        <v>0.69421565021879217</v>
      </c>
    </row>
    <row r="102" spans="3:10">
      <c r="C102" s="43" t="s">
        <v>120</v>
      </c>
      <c r="D102" s="1">
        <f>[1]!density(D13,"TP","SI with C",D63,D39/10)</f>
        <v>5.7185132595555865</v>
      </c>
      <c r="F102" s="1">
        <f>[1]!density(F13,"TP","SI with C",F63,F39/10)</f>
        <v>0.78796810994286282</v>
      </c>
      <c r="H102" s="1">
        <f>[1]!density(H13,"TP","SI with C",H63,H39/10)</f>
        <v>0.78878872368673714</v>
      </c>
      <c r="J102" s="1">
        <f>[1]!density(J13,"TP","SI with C",J63,J39/10)</f>
        <v>3.5261166990244281</v>
      </c>
    </row>
    <row r="103" spans="3:10">
      <c r="C103" s="43" t="s">
        <v>126</v>
      </c>
      <c r="D103" s="1">
        <f>[1]!density("helium","TP","SI with C",0,1/10)</f>
        <v>0.1761481440000498</v>
      </c>
      <c r="H103" s="1">
        <f>[1]!density("helium","TP","SI with C",0,1/10)</f>
        <v>0.1761481440000498</v>
      </c>
      <c r="J103" s="1">
        <f>[1]!density("helium","TP","SI with C",0,1/10)</f>
        <v>0.1761481440000498</v>
      </c>
    </row>
    <row r="106" spans="3:10">
      <c r="C106" s="12" t="s">
        <v>166</v>
      </c>
      <c r="D106" s="119">
        <f>D77-D62</f>
        <v>10</v>
      </c>
      <c r="F106" s="119">
        <f>F77-F62</f>
        <v>10.869436332377205</v>
      </c>
      <c r="H106" s="119">
        <f>H77-H62</f>
        <v>10</v>
      </c>
      <c r="J106" s="119">
        <f>J77-J62</f>
        <v>10</v>
      </c>
    </row>
    <row r="107" spans="3:10">
      <c r="C107" s="7" t="s">
        <v>17</v>
      </c>
      <c r="D107" s="28">
        <f>D51/(D106*4.18)*3.6</f>
        <v>46.010392682405787</v>
      </c>
      <c r="F107" s="28">
        <f>F51/(F106*4.18)*3.6</f>
        <v>43.064716483189514</v>
      </c>
      <c r="H107" s="28">
        <f>H51/(H106*4.18)*3.6</f>
        <v>45.974712671090366</v>
      </c>
      <c r="I107" s="1">
        <f>H78/H107</f>
        <v>0.91476633321608913</v>
      </c>
      <c r="J107" s="28">
        <f>J51/(J106*4.18)*3.6</f>
        <v>46.48032015690481</v>
      </c>
    </row>
    <row r="108" spans="3:10">
      <c r="F108" s="95"/>
    </row>
    <row r="109" spans="3:10">
      <c r="C109" s="1" t="s">
        <v>167</v>
      </c>
      <c r="D109" s="97">
        <f>D86+D72</f>
        <v>444.53172561210738</v>
      </c>
      <c r="E109" s="97"/>
      <c r="F109" s="120">
        <f>F86+F72</f>
        <v>483.18082700635921</v>
      </c>
      <c r="H109" s="97">
        <f>H86+H72</f>
        <v>480.16435710685528</v>
      </c>
      <c r="J109" s="97">
        <f>J86+J72</f>
        <v>427.05020558174056</v>
      </c>
    </row>
    <row r="110" spans="3:10">
      <c r="C110" s="1" t="s">
        <v>168</v>
      </c>
      <c r="D110" s="97">
        <f>D51</f>
        <v>534.2317817012671</v>
      </c>
      <c r="F110" s="120">
        <f>F51</f>
        <v>543.50356412807685</v>
      </c>
      <c r="H110" s="97">
        <f>H51</f>
        <v>533.81749712543808</v>
      </c>
      <c r="J110" s="97">
        <f>J51</f>
        <v>539.68816182183912</v>
      </c>
    </row>
    <row r="111" spans="3:10">
      <c r="D111" s="97">
        <f>D109-D110</f>
        <v>-89.700056089159716</v>
      </c>
      <c r="F111" s="97">
        <f>F109-F110</f>
        <v>-60.322737121717637</v>
      </c>
      <c r="H111" s="97">
        <f>H109-H110</f>
        <v>-53.653140018582803</v>
      </c>
      <c r="J111" s="97">
        <f>J109-J110</f>
        <v>-112.63795624009856</v>
      </c>
    </row>
    <row r="114" spans="2:10">
      <c r="B114" s="99"/>
      <c r="C114" s="7"/>
      <c r="D114" s="9"/>
      <c r="E114" s="85"/>
      <c r="F114" s="9"/>
      <c r="G114" s="82"/>
      <c r="H114" s="9"/>
      <c r="J114" s="9"/>
    </row>
    <row r="115" spans="2:10">
      <c r="B115" s="99"/>
      <c r="E115" s="85"/>
    </row>
    <row r="132" spans="3:10">
      <c r="C132" s="1" t="s">
        <v>137</v>
      </c>
      <c r="F132" s="75">
        <f>F106/(F55-F63)</f>
        <v>0.19305787877709016</v>
      </c>
    </row>
    <row r="133" spans="3:10">
      <c r="C133" s="1" t="s">
        <v>153</v>
      </c>
      <c r="F133" s="75">
        <f>(F55-F114)/F106</f>
        <v>8.0879524187290244</v>
      </c>
    </row>
    <row r="141" spans="3:10">
      <c r="C141" s="17" t="s">
        <v>23</v>
      </c>
      <c r="D141" s="18">
        <f>D142/D83*10^6</f>
        <v>11.288071981352864</v>
      </c>
      <c r="F141" s="18">
        <f>F142/F83*10^6</f>
        <v>9.2729540418794691</v>
      </c>
      <c r="H141" s="18">
        <f>H142/H83*10^6</f>
        <v>11.288071981352864</v>
      </c>
      <c r="J141" s="18">
        <f>J142/J83*10^6</f>
        <v>11.288071981352864</v>
      </c>
    </row>
    <row r="142" spans="3:10">
      <c r="C142" s="17" t="s">
        <v>24</v>
      </c>
      <c r="D142" s="19">
        <f>[2]!mu_("BREOXB35",D39,D55+273)</f>
        <v>1.1062310541725807E-2</v>
      </c>
      <c r="F142" s="19">
        <f>[2]!mu_("BREOXB35",F39,F55+273)</f>
        <v>9.0874949610418795E-3</v>
      </c>
      <c r="H142" s="19">
        <f>[2]!mu_("BREOXB35",H39,H55+273)</f>
        <v>1.1062310541725807E-2</v>
      </c>
      <c r="J142" s="19">
        <f>[2]!mu_("BREOXB35",J39,J55+273)</f>
        <v>1.1062310541725807E-2</v>
      </c>
    </row>
    <row r="145" spans="3:10">
      <c r="D145" s="97">
        <f>D86-D95</f>
        <v>0</v>
      </c>
      <c r="F145" s="95"/>
      <c r="H145" s="97">
        <f>H86-H95</f>
        <v>0</v>
      </c>
      <c r="J145" s="97">
        <f>J86-J95</f>
        <v>0</v>
      </c>
    </row>
    <row r="146" spans="3:10">
      <c r="D146" s="1">
        <f>D93/429.82</f>
        <v>6.4868965495725656E-2</v>
      </c>
      <c r="H146" s="1">
        <f>H93/429.82</f>
        <v>7.5071808465243556E-2</v>
      </c>
      <c r="J146" s="1">
        <f>J93/429.82</f>
        <v>5.8012257851250248E-2</v>
      </c>
    </row>
    <row r="147" spans="3:10">
      <c r="C147" s="1" t="s">
        <v>136</v>
      </c>
      <c r="D147" s="1">
        <v>0.14510000000000001</v>
      </c>
      <c r="H147" s="1">
        <v>0.14510000000000001</v>
      </c>
      <c r="J147" s="1">
        <v>0.14510000000000001</v>
      </c>
    </row>
    <row r="148" spans="3:10">
      <c r="D148" s="1">
        <v>0.62909999999999999</v>
      </c>
      <c r="H148" s="1">
        <v>0.62909999999999999</v>
      </c>
      <c r="J148" s="1">
        <v>0.62909999999999999</v>
      </c>
    </row>
    <row r="149" spans="3:10">
      <c r="D149" s="1">
        <f>1/(1/D147+1/D148)</f>
        <v>0.11790546370446912</v>
      </c>
      <c r="H149" s="1">
        <f>1/(1/H147+1/H148)</f>
        <v>0.11790546370446912</v>
      </c>
      <c r="J149" s="1">
        <f>1/(1/J147+1/J148)</f>
        <v>0.11790546370446912</v>
      </c>
    </row>
    <row r="150" spans="3:10">
      <c r="C150"/>
    </row>
    <row r="151" spans="3:10">
      <c r="C151"/>
    </row>
    <row r="152" spans="3:10" ht="15">
      <c r="C152" s="65" t="s">
        <v>137</v>
      </c>
      <c r="D152" s="1">
        <f>2895.06*10^3</f>
        <v>2895060</v>
      </c>
      <c r="E152" s="1" t="s">
        <v>142</v>
      </c>
      <c r="F152" s="1">
        <f>F153*F154*F155</f>
        <v>3292958.4749999996</v>
      </c>
      <c r="H152" s="1">
        <f>2895.06*10^3</f>
        <v>2895060</v>
      </c>
      <c r="J152" s="1">
        <f>2895.06*10^3</f>
        <v>2895060</v>
      </c>
    </row>
    <row r="153" spans="3:10">
      <c r="C153" s="1" t="s">
        <v>133</v>
      </c>
      <c r="D153" s="1">
        <f>20.43</f>
        <v>20.43</v>
      </c>
      <c r="F153" s="1">
        <f>20.43</f>
        <v>20.43</v>
      </c>
      <c r="H153" s="1">
        <f>20.43</f>
        <v>20.43</v>
      </c>
      <c r="J153" s="1">
        <f>20.43</f>
        <v>20.43</v>
      </c>
    </row>
    <row r="154" spans="3:10">
      <c r="C154" s="1" t="s">
        <v>145</v>
      </c>
      <c r="D154" s="1">
        <v>429.82</v>
      </c>
      <c r="E154" s="1" t="s">
        <v>146</v>
      </c>
      <c r="F154" s="1">
        <v>429.82</v>
      </c>
      <c r="H154" s="1">
        <v>429.82</v>
      </c>
      <c r="J154" s="1">
        <v>429.82</v>
      </c>
    </row>
    <row r="155" spans="3:10">
      <c r="C155" s="1" t="s">
        <v>144</v>
      </c>
      <c r="D155" s="1">
        <f>D152/(D153*D154)</f>
        <v>329.68757676180536</v>
      </c>
      <c r="E155" s="1" t="s">
        <v>143</v>
      </c>
      <c r="F155" s="1">
        <v>375</v>
      </c>
      <c r="H155" s="1">
        <f>H152/(H153*H154)</f>
        <v>329.68757676180536</v>
      </c>
      <c r="J155" s="1">
        <f>J152/(J153*J154)</f>
        <v>329.68757676180536</v>
      </c>
    </row>
    <row r="156" spans="3:10">
      <c r="D156" s="1">
        <f>374/D155</f>
        <v>1.1344073188120454</v>
      </c>
      <c r="F156" s="1">
        <f>1/F155</f>
        <v>2.6666666666666666E-3</v>
      </c>
      <c r="H156" s="1">
        <f>374/H155</f>
        <v>1.1344073188120454</v>
      </c>
      <c r="J156" s="1">
        <f>374/J155</f>
        <v>1.1344073188120454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Aerzen</vt:lpstr>
      <vt:lpstr>Sheet1</vt:lpstr>
      <vt:lpstr>Sheet2</vt:lpstr>
      <vt:lpstr>Sheet3</vt:lpstr>
      <vt:lpstr>313K002A-B (2)</vt:lpstr>
      <vt:lpstr>313K002A-B</vt:lpstr>
      <vt:lpstr>313K002A-B_avec oil HX et after</vt:lpstr>
      <vt:lpstr>test</vt:lpstr>
      <vt:lpstr>Off_design air_to helium</vt:lpstr>
      <vt:lpstr>Examples</vt:lpstr>
      <vt:lpstr>Kaeser</vt:lpstr>
      <vt:lpstr>JCI</vt:lpstr>
      <vt:lpstr>JCI (2)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 : ALFR-0062659-L</cp:lastModifiedBy>
  <dcterms:created xsi:type="dcterms:W3CDTF">2013-11-25T11:01:20Z</dcterms:created>
  <dcterms:modified xsi:type="dcterms:W3CDTF">2015-08-27T15:07:52Z</dcterms:modified>
</cp:coreProperties>
</file>